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43" activeTab="0"/>
  </bookViews>
  <sheets>
    <sheet name="РЕЙТИНГ КАФ ТА ФАК" sheetId="1" r:id="rId1"/>
    <sheet name="РЕЙТИНГ ПОРІВНЯЛЬНИЙ" sheetId="2" r:id="rId2"/>
    <sheet name="2.1.Вид дія" sheetId="3" r:id="rId3"/>
    <sheet name="2.2. Інд.якості НПП" sheetId="4" r:id="rId4"/>
    <sheet name="2.3.Якість осв пр" sheetId="5" r:id="rId5"/>
    <sheet name="2.3.1 І як.освіт.проц. " sheetId="6" r:id="rId6"/>
    <sheet name="2.3.2 І д.з." sheetId="7" r:id="rId7"/>
    <sheet name="2.3.3. І студ." sheetId="8" r:id="rId8"/>
    <sheet name="2.3.4. І п.л." sheetId="9" r:id="rId9"/>
    <sheet name="2.3.5. І я.п.ф." sheetId="10" r:id="rId10"/>
    <sheet name="2.4. І як.наукової роботи" sheetId="11" r:id="rId11"/>
    <sheet name="2.5. І. між.ак." sheetId="12" r:id="rId12"/>
    <sheet name="2.6.-2.6.1. І фін.активність" sheetId="13" r:id="rId13"/>
    <sheet name="2.6.2. І фін наук діяльності" sheetId="14" r:id="rId14"/>
    <sheet name="2.7. І вебометричних показн." sheetId="15" r:id="rId15"/>
    <sheet name="2.8. І к-м.спорт роб." sheetId="16" r:id="rId16"/>
  </sheets>
  <definedNames>
    <definedName name="_GoBack" localSheetId="14">'2.7. І вебометричних показн.'!$I$2</definedName>
    <definedName name="_xlnm.Print_Area" localSheetId="5">'2.3.1 І як.освіт.проц. '!$A$1:$E$35</definedName>
    <definedName name="_xlnm.Print_Area" localSheetId="6">'2.3.2 І д.з.'!$A$1:$I$35</definedName>
    <definedName name="_xlnm.Print_Area" localSheetId="7">'2.3.3. І студ.'!$A$1:$E$37</definedName>
    <definedName name="_xlnm.Print_Area" localSheetId="8">'2.3.4. І п.л.'!$A$1:$F$36</definedName>
    <definedName name="_xlnm.Print_Area" localSheetId="0">'РЕЙТИНГ КАФ ТА ФАК'!$A$1:$L$46</definedName>
    <definedName name="_xlnm.Print_Area" localSheetId="1">'РЕЙТИНГ ПОРІВНЯЛЬНИЙ'!$A$1:$K$36</definedName>
  </definedNames>
  <calcPr fullCalcOnLoad="1"/>
</workbook>
</file>

<file path=xl/sharedStrings.xml><?xml version="1.0" encoding="utf-8"?>
<sst xmlns="http://schemas.openxmlformats.org/spreadsheetml/2006/main" count="751" uniqueCount="161">
  <si>
    <t>Кафедра</t>
  </si>
  <si>
    <t>Рейтинг ефективності видавничої діяльності за результатами науково-методичної роботи</t>
  </si>
  <si>
    <t>Рейтинг ефективності видавничої діяльності за результатами наукової роботи</t>
  </si>
  <si>
    <t>Індикатор ефективності видавничої діяльності науково-педагогічних працівників</t>
  </si>
  <si>
    <t>Кафедра управління інноваційною діяльністю та сферою послуг</t>
  </si>
  <si>
    <t>Кафедра автоматизації технологічних процесів та виробництв</t>
  </si>
  <si>
    <t>Кафедра промислового маркетингу</t>
  </si>
  <si>
    <t>Кафедра будівельних конструкцій</t>
  </si>
  <si>
    <t>Кафедра технічної механіки та сільськогосподарських машин</t>
  </si>
  <si>
    <t>Кафедра менеджменту та адміністрування</t>
  </si>
  <si>
    <t>Кафедра бухгалтерського обліку та аудиту</t>
  </si>
  <si>
    <t>Кафедра економіки та фінансів</t>
  </si>
  <si>
    <t>Кафедра програмної інженерії</t>
  </si>
  <si>
    <t>Кафедра харчової біотехнології і хімії</t>
  </si>
  <si>
    <t>Кафедра будівельної механіки</t>
  </si>
  <si>
    <t>Кафедра автомобілів</t>
  </si>
  <si>
    <t>Кафедра комп'ютерно-інтегрованих технологій</t>
  </si>
  <si>
    <t>Кафедра фізики</t>
  </si>
  <si>
    <t>Кафедра математичних методів в інженерії</t>
  </si>
  <si>
    <t>Кафедра української та іноземних мов</t>
  </si>
  <si>
    <t>Кафедра технології машинобудування</t>
  </si>
  <si>
    <t>Кафедра комп`ютерних систем та мереж</t>
  </si>
  <si>
    <t>Кафедра конструювання верстатів, інструментів та машин</t>
  </si>
  <si>
    <t>Кафедра біотехнічних систем</t>
  </si>
  <si>
    <t>Кафедра українознавства і філософії</t>
  </si>
  <si>
    <t>Кафедра інформатики і математичного моделювання</t>
  </si>
  <si>
    <t>Кафедра приладів і контрольно-вимірювальних систем</t>
  </si>
  <si>
    <t>Кафедра комп'ютерних наук</t>
  </si>
  <si>
    <t>Кафедра технології та обладнання зварювального виробництва</t>
  </si>
  <si>
    <t>Кафедра електричної інженерії</t>
  </si>
  <si>
    <t>Кафедра економічної кібернетики</t>
  </si>
  <si>
    <t>Кафедра кібербезпеки</t>
  </si>
  <si>
    <t>Кафедра обладнання харчових технологій</t>
  </si>
  <si>
    <t>Кафедра вищої математики</t>
  </si>
  <si>
    <t>Кафедра радіотехнічних систем</t>
  </si>
  <si>
    <t>Кафедра фізичного виховання і спорту</t>
  </si>
  <si>
    <t>Факультет економіки та менеджменту</t>
  </si>
  <si>
    <t>Факультет інженерії машин, споруд та технологій</t>
  </si>
  <si>
    <t>Факультет прикладних інформаційних технологій та електроінженерії</t>
  </si>
  <si>
    <t>Факультет комп'ютерно-інформаційних систем і програмної інженерії</t>
  </si>
  <si>
    <t>Індикатор ефективності видавничої діяльності науково-педагогічних працівників  по кафедрах:</t>
  </si>
  <si>
    <t>Індикатор ефективності видавничої діяльності науково-педагогічних працівників  по факультетах:</t>
  </si>
  <si>
    <t>Індикатор якості науково-педагогічних працівників  по кафедрах:</t>
  </si>
  <si>
    <t>Індикатор якості науково-педагогічних працівників  по факультетах:</t>
  </si>
  <si>
    <t>Факультети</t>
  </si>
  <si>
    <t>Всього:</t>
  </si>
  <si>
    <t>Кількість перем. (ф) – кількість переможців мистецьких конкурсів і спортивних змагань всіх рівнів, крім університетського, (студенти і НПП факультету)</t>
  </si>
  <si>
    <t>Кількість спорт.(ф) – кількість спортсменів, які навчаються на факультеті, мають спортивний розряд або звання</t>
  </si>
  <si>
    <t xml:space="preserve">Індикатор к-м.,с.роб. (визначають для факультету) – індикатор якості культурно-мистецької і спортивної роботи </t>
  </si>
  <si>
    <t>К наук. (ф., к) – кошти, отримані на фінансування наукової діяльності факультету чи кафедри, тис.грн.</t>
  </si>
  <si>
    <t>Індикатор фін. наук. діяльн. – індикатор фінансування наукової діяльності по кафедрах</t>
  </si>
  <si>
    <t>К наук.(у) – кошти, отримані на фінансування наукової діяльності університету, тис.грн.</t>
  </si>
  <si>
    <t xml:space="preserve">Всього </t>
  </si>
  <si>
    <t xml:space="preserve">Кількість обм. (у.) – кількість студентів і НПП університету, які брали участь в міжнародних обмінах </t>
  </si>
  <si>
    <t xml:space="preserve">Кількість обм. (ф.,к) – кількість студентів і НПП факультету чи кафедри, які брали участь в міжнародних обмінах </t>
  </si>
  <si>
    <t xml:space="preserve">Індикатор між.ак. – індикатор міжнародної активності </t>
  </si>
  <si>
    <t>Всього</t>
  </si>
  <si>
    <t xml:space="preserve"> К ст.і.g.(ф., к) – кількість присутніх на сайті факультету чи кафедри сторінок усіх форматів, проіндексованих пошуковою системою Google</t>
  </si>
  <si>
    <t xml:space="preserve">К ст.і.g.(у) – кількість присутніх на сайті університету сторінок усіх форматів, проіндексованих пошуковою системою Google </t>
  </si>
  <si>
    <t>К з.п.(ф., к) – кількість зовнішніх гіперпосилань на домен сайту факультету чи кафедри</t>
  </si>
  <si>
    <t>К д.з.п.(ф., к) – кількість доменів, з яких надходять зовнішні гіперпосилання на домен сайту факультету чи кафедри</t>
  </si>
  <si>
    <t>К з.п.(у) – кількість зовнішніх гіперпосилань на домен сайту університету</t>
  </si>
  <si>
    <t>К д.з.п.(у) – кількість доменів, з яких надходять зовнішні гіперпосилання на домен сайту університету</t>
  </si>
  <si>
    <t>І Гірша.(ф., к) –значення  індекса Гірша факультету чи кафедри</t>
  </si>
  <si>
    <t>І Гірша у. – індекс Гірша університету</t>
  </si>
  <si>
    <t>К цит.(ф., к) – кількість цитувань наукових праць НПП факультету чи кафедри</t>
  </si>
  <si>
    <t>К цит. у – кількість цитувань наукових праць НПП університету</t>
  </si>
  <si>
    <t>К наук.спец. (к) – кількість наукових спеціальностей, за якими здійснюється підготовка кадрів вищої кваліфікації, що відповідають профілю кафедри, у спеціалізованих вчених радах</t>
  </si>
  <si>
    <t>К спец.рад (у) – кількість наукових спеціальностей у спеціалізованих вчених радах університету</t>
  </si>
  <si>
    <t>Індикатор як.наук.роб – індикатор якості наукової роботи по кафедрах</t>
  </si>
  <si>
    <t>Індикатор як.наук.роб – індикатор якості наукової роботи по факультетах</t>
  </si>
  <si>
    <t>І як.осв.проц. – індикатор якості освітнього процесу  по факультетах:</t>
  </si>
  <si>
    <t>К маг., К асп., К докт. (ф., кв) – кількість магістрів, аспірантів, докторантів і здобувачів, у т.ч. іноземних, зарахованих за всіма формами навчання і спеціальностями факультету чи випускової кафедри станом на 1 жовтня поточного року</t>
  </si>
  <si>
    <t>К бак. (ф., кв) – кількість бакалаврів, що навчаються  за всіма спеціальностями факультету чи випускової кафедри станом на 1 жовтня поточного року</t>
  </si>
  <si>
    <t xml:space="preserve">І як.осв.проц. – індикатор якості освітнього процесу </t>
  </si>
  <si>
    <t>І фін.акт. – індикатор фінансової активності по кафедрах:</t>
  </si>
  <si>
    <t>К (ф., к) – кошти спецфонду, отримані від усіх видів діяльності факультету чи кафедри,  крім наукової, тис. грн.</t>
  </si>
  <si>
    <t>І фін.акт. – індикатор фінансової активності по кафедрах</t>
  </si>
  <si>
    <t>І фін.акт. – індикатор фінансової активності  по факультетах:</t>
  </si>
  <si>
    <t>К д.н., Кк.н. (ф., к) – кількість докторів і кандидатів наук, у т.ч. сумісників, що працюють на факультеті чи кафедрі</t>
  </si>
  <si>
    <t>Кнпп (ф., к) – кількість НПП, у т.ч. сумісників, що працюють на факультеті, кафедрі;</t>
  </si>
  <si>
    <t>К інд.грантів (у)  – кількість НПП університету, що отримали індивідуальні гранти (освітні, наукові)</t>
  </si>
  <si>
    <t>(К нпп іноз.мов.) (ф., к) – кількість НПП факультету чи кафедри, які викладали в поточному році навчальні дисципліни іноземною мовою (крім викладачів кафедри української та іноземних мов, які викладали іноземну мову для українських студентів)</t>
  </si>
  <si>
    <t>К нпп В2 (ф.,к) – кількість НПП факультету чи кафедри, які мають сертифікат відповідно до Загальноєвропейської рекомендації з мовної освіти (на рівні, не нижче В2) з іноземної мови (крім викладачів кафедри української та іноземних мов, які викладали іноземну мову для українських студентів)</t>
  </si>
  <si>
    <t>К інд.грантів  (ф., к) – кількість НПП факультету чи кафедри, що отримали індивідуальні гранти (освітні, наукові)</t>
  </si>
  <si>
    <t>Індикатор якості науково-педагогічних працівників  по кафедрах</t>
  </si>
  <si>
    <t>К нпп В2 (у) – кількість НПП університету, які мають сертифікат відповідно до Загальноєвропейської рекомендації з мовної освіти (на рівні, не нижче В2) з іноземної мови (крім викладачів кафедри української та іноземних мов, які викладали іноземну мову для українських студентів).</t>
  </si>
  <si>
    <t>І д.з. – індикатор виконання держзамовлення  по факультетах:</t>
  </si>
  <si>
    <t xml:space="preserve"> І д.з. – індикатор виконання держзамовлення  по кафедрах:</t>
  </si>
  <si>
    <t>К студ.ПЗСО– кількість студентів, які вступили на базі повної загальної середньої освіти на спеціальності факультету чи випускової кафедри</t>
  </si>
  <si>
    <t>К студ.ОКР (ф., кв)  – кількість студентів, які вступили на базі ОКР «молодший спеціаліст», на спеціальності факультету чи випускової кафедри</t>
  </si>
  <si>
    <t xml:space="preserve"> І д.з. – індикатор виконання держзамовлення</t>
  </si>
  <si>
    <t>І студ. – індикатор результативності прийому студентів   по факультетах:</t>
  </si>
  <si>
    <t>К студ. (ф., кв)  – кількість студентів, зарахованих за всіма освітніми рівнями, формами навчання і спеціальностями факультету чи випускової кафедри</t>
  </si>
  <si>
    <t>К ліц. обсяг (ф., кв) – ліцензований обсяг прийому студентів за всіма освітніми рівнями, формами навчання і спеціальностями факультету чи випускової кафедри</t>
  </si>
  <si>
    <t xml:space="preserve"> І студ. – індикатор результативності прийому студентів  по кафедрах:</t>
  </si>
  <si>
    <t xml:space="preserve">І студ. – індикатор результативності прийому студентів  </t>
  </si>
  <si>
    <t>К пл. (ф., кв) – кількість студентів, зарахованих на навчання за кошти фізичних і юридичних осіб, в т.ч. іноземних, за всіма освітніми рівнями, формами навчання і спеціальностями факультету чи випускової кафедри</t>
  </si>
  <si>
    <t>К ліц. обсяг - ліцензований обсяг прийому студентів за всіма освітніми рівнями, формами навчання і спеціальностями випускової факультету чи кафедри</t>
  </si>
  <si>
    <t xml:space="preserve">К д.з. – кількість студентів, зарахованих на місця держзамовлення за всіма освітніми рівнями, формами навчання і спеціальностями факультету чи випускової кафедри </t>
  </si>
  <si>
    <t xml:space="preserve">І пл.. – індикатор зарахування студентів за кошти фізичних і юридичних осіб </t>
  </si>
  <si>
    <t>І я.п.ф. – індикатор якості підготовки фахівців  по кафедрах:</t>
  </si>
  <si>
    <t>І я.п.ф. – індикатор якості підготовки фахівців  по факультетах:</t>
  </si>
  <si>
    <t>К пер.ол., конк. (ф., к) –  кількість переможців олімпіад, конкурсів факультету, кафедри</t>
  </si>
  <si>
    <t>К пер.ол., конк. (у) –  кількість переможців олімпіад, конкурсів університету</t>
  </si>
  <si>
    <t>К вип.ЗВ (ф., к) – кількість випускників, які отримали дипломи з відзнакою, за всіма освітніми рівнями, формами навчання і спеціальностями факультету чи випускової кафедри</t>
  </si>
  <si>
    <t xml:space="preserve">К вип. (ф., к) – кількість випускників за всіма освітніми рівнями, формами навчання і спеціальностями факультету чи випускової кафедри </t>
  </si>
  <si>
    <t xml:space="preserve">І я.п.ф. – індикатор якості підготовки фахівців </t>
  </si>
  <si>
    <t xml:space="preserve">Якість освітнього процесу </t>
  </si>
  <si>
    <t xml:space="preserve">Рейтинг </t>
  </si>
  <si>
    <t>№ з.п.</t>
  </si>
  <si>
    <t>І Гірша Scopus (у.) –значення індексу Гірша університету за даними наукометричної бази Scopus</t>
  </si>
  <si>
    <t>І Гірша.Scopus (ф., к) –значення індексу Гірша  факультету чи кафедри за даними наукометричної бази Scopus</t>
  </si>
  <si>
    <t>К п.ф. (ф., к) - кількість підписників офіційної сторінки факультету чи кафедри в соціальній мережі facebook;</t>
  </si>
  <si>
    <t>К п.ф. (у) - кількість підписників офіційної сторінки університету в соціальній мережі facebook</t>
  </si>
  <si>
    <t>К перем. (у) - кількість переможців мистецьких конкурсів і спортивних змагань всіх рівнів, крім університетського, (студенти і НПП університету)</t>
  </si>
  <si>
    <t>К спорт. ВК (у) кількість спортсменів, які навчаються в університеті, мають спортивний розряд або звання</t>
  </si>
  <si>
    <t>М.д.з. (у.) – кількість студентів, які зараховані на місця державного замовлення університету на базі повної загальної середньої освіти</t>
  </si>
  <si>
    <t>О.д.з. ОКР (у.) – обсяг держзамовлення для вступу на базі ОКР «молодший спеціаліст» на спеціальності університету</t>
  </si>
  <si>
    <t>К маг. (ф., кв) – кількість магістрів, у т.ч. іноземних, зарахованих за всіма формами навчання і спеціальностями факультету чи випускової кафедри станом на 1 жовтня поточного року</t>
  </si>
  <si>
    <t>О.д.з. маг. (у.) – обсяг держзамовлення для вступу у магістратуру, на спеціальності університету</t>
  </si>
  <si>
    <t xml:space="preserve">І пл. – індикатор зарахування студентів за кошти фізичних і юридичних осіб </t>
  </si>
  <si>
    <t>РЕЙТИНГ  КАФЕДР ТА ФАКУЛЬТЕТІВ</t>
  </si>
  <si>
    <r>
      <t xml:space="preserve">Індикатор ефективності видавничої діяльності науково-педагогічних працівників </t>
    </r>
    <r>
      <rPr>
        <b/>
        <sz val="16"/>
        <rFont val="Times New Roman"/>
        <family val="1"/>
      </rPr>
      <t>(0,2)</t>
    </r>
  </si>
  <si>
    <r>
      <t xml:space="preserve">Індикатор якості науково-педагогічних працівників  </t>
    </r>
    <r>
      <rPr>
        <b/>
        <sz val="16"/>
        <rFont val="Times New Roman"/>
        <family val="1"/>
      </rPr>
      <t>(0,1)</t>
    </r>
  </si>
  <si>
    <r>
      <t xml:space="preserve">Індикатор як.наук.роб – індикатор якості наукової роботи </t>
    </r>
    <r>
      <rPr>
        <b/>
        <sz val="16"/>
        <rFont val="Times New Roman"/>
        <family val="1"/>
      </rPr>
      <t>(0,2)</t>
    </r>
  </si>
  <si>
    <r>
      <t xml:space="preserve">Індикатор між.ак. – індикатор міжнародної активності </t>
    </r>
    <r>
      <rPr>
        <b/>
        <sz val="16"/>
        <rFont val="Times New Roman"/>
        <family val="1"/>
      </rPr>
      <t>(0,1)</t>
    </r>
  </si>
  <si>
    <r>
      <t xml:space="preserve">І фін.акт. – індикатор фінансової активності </t>
    </r>
    <r>
      <rPr>
        <b/>
        <sz val="16"/>
        <rFont val="Times New Roman"/>
        <family val="1"/>
      </rPr>
      <t>(0,05)</t>
    </r>
  </si>
  <si>
    <r>
      <t xml:space="preserve">Індикатор фін. наук. діяльн. – індикатор фінансування наукової діяльності </t>
    </r>
    <r>
      <rPr>
        <b/>
        <sz val="16"/>
        <rFont val="Times New Roman"/>
        <family val="1"/>
      </rPr>
      <t>(0,05)</t>
    </r>
  </si>
  <si>
    <r>
      <t xml:space="preserve">ІндикаторІ веб.пок. – індикатор вебометричних показників  </t>
    </r>
    <r>
      <rPr>
        <b/>
        <sz val="16"/>
        <rFont val="Times New Roman"/>
        <family val="1"/>
      </rPr>
      <t>(0,05)</t>
    </r>
  </si>
  <si>
    <r>
      <t xml:space="preserve">Індикатор к-м.,с.роб. (визначають для факультету) – індикатор якості культурно-мистецької і спортивної роботи </t>
    </r>
    <r>
      <rPr>
        <b/>
        <sz val="16"/>
        <rFont val="Times New Roman"/>
        <family val="1"/>
      </rPr>
      <t>(0,05)</t>
    </r>
  </si>
  <si>
    <t xml:space="preserve">Кафедра психології </t>
  </si>
  <si>
    <t>Кафедра психології</t>
  </si>
  <si>
    <t xml:space="preserve">Індикатор І веб.пок. – індикатор вебометричних показників  по кафедрах </t>
  </si>
  <si>
    <r>
      <t xml:space="preserve"> Якість освітнього процесу </t>
    </r>
    <r>
      <rPr>
        <b/>
        <sz val="16"/>
        <rFont val="Times New Roman"/>
        <family val="1"/>
      </rPr>
      <t>(0,2)</t>
    </r>
  </si>
  <si>
    <t>І як.осв.проц. – індикатор якості освітнього процесу  по кафедрах:</t>
  </si>
  <si>
    <t>І як.наук.роб – індикатор якості наукової роботи по кафедрах:</t>
  </si>
  <si>
    <t>І як.наук.роб – індикатор якості наукової роботи по факультетах:</t>
  </si>
  <si>
    <t>І між.ак. – індикатор міжнародної активності по кафедрах:</t>
  </si>
  <si>
    <t>І між.ак. – індикатор міжнародної активності  по факультетах:</t>
  </si>
  <si>
    <t>І фін. наук. діяльн. – індикатор фінансування наукової діяльності по факультетах</t>
  </si>
  <si>
    <t>І фін. наук. діяльн. – індикатор фінансування наукової діяльності по кафедрах:</t>
  </si>
  <si>
    <t>І веб.пок. – індикатор вебометричних показників  по кафедрах:</t>
  </si>
  <si>
    <t>І веб.пок. – індикатор вебометричних показників по факультетах:</t>
  </si>
  <si>
    <t>І к-м., с.роб. (визначають для факультету) - індикатор якості культурно-мистецької і спортивної роботи:</t>
  </si>
  <si>
    <r>
      <t xml:space="preserve">І як.наук.роб – індикатор якості наукової роботи </t>
    </r>
    <r>
      <rPr>
        <b/>
        <sz val="16"/>
        <rFont val="Times New Roman"/>
        <family val="1"/>
      </rPr>
      <t>(0,2)</t>
    </r>
  </si>
  <si>
    <r>
      <t xml:space="preserve">І між.ак. – індикатор міжнародної активності </t>
    </r>
    <r>
      <rPr>
        <b/>
        <sz val="16"/>
        <rFont val="Times New Roman"/>
        <family val="1"/>
      </rPr>
      <t>(0,1)</t>
    </r>
  </si>
  <si>
    <r>
      <t xml:space="preserve">І фін. наук. діяльн. – індикатор фінансування наукової діяльності </t>
    </r>
    <r>
      <rPr>
        <b/>
        <sz val="16"/>
        <rFont val="Times New Roman"/>
        <family val="1"/>
      </rPr>
      <t>(0,05)</t>
    </r>
  </si>
  <si>
    <r>
      <t xml:space="preserve">І веб.пок. – індикатор вебометричних показників  </t>
    </r>
    <r>
      <rPr>
        <b/>
        <sz val="16"/>
        <rFont val="Times New Roman"/>
        <family val="1"/>
      </rPr>
      <t>(0,05)</t>
    </r>
  </si>
  <si>
    <t>СФ(у) – спецфонд університету, тис. грн.</t>
  </si>
  <si>
    <t>СФ(у) – спецфонд університету, тис.грн.</t>
  </si>
  <si>
    <t>Якість освітнього процесу по кафедрах:</t>
  </si>
  <si>
    <t>Якість освітнього процесу по факультетах:</t>
  </si>
  <si>
    <t>І п.л.– індикатор зарахування студентів за кошти фізичних і юридичних осіб по кафедрах:</t>
  </si>
  <si>
    <t>І п.л. – індикатор зарахування студентів за кошти фізичних і юридичних осіб по факультетах:</t>
  </si>
  <si>
    <t xml:space="preserve">РЕЙТИНГ КАФЕДР БЕЗ УРАХУВАННЯ ЯКОСТІ НАВЧАЛЬНОГО ПРОЦЕСУ </t>
  </si>
  <si>
    <t>Факультет</t>
  </si>
  <si>
    <t xml:space="preserve">Індикатор якості науково-педагогічних працівників  </t>
  </si>
  <si>
    <t>І фін.акт. – індикатор фінансової активності по факультетах</t>
  </si>
  <si>
    <t>Індикатор фін. наук. діяльн. – індикатор фінансування наукової діяльності по факультетах</t>
  </si>
  <si>
    <t>ІндикаторІ веб.пок. – індикатор вебометричних показників  по факультетах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</si>
</sst>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₴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-* #,##0.000\ _г_р_н_._-;\-* #,##0.000\ _г_р_н_._-;_-* &quot;-&quot;??\ _г_р_н_._-;_-@_-"/>
    <numFmt numFmtId="189" formatCode="_-* #,##0.0000\ _г_р_н_._-;\-* #,##0.0000\ _г_р_н_._-;_-* &quot;-&quot;??\ _г_р_н_._-;_-@_-"/>
    <numFmt numFmtId="190" formatCode="_-* #,##0.0\ _г_р_н_._-;\-* #,##0.0\ _г_р_н_._-;_-* &quot;-&quot;??\ _г_р_н_._-;_-@_-"/>
    <numFmt numFmtId="191" formatCode="#,##0.000"/>
  </numFmts>
  <fonts count="54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color indexed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sz val="16"/>
      <name val="Times New Roman"/>
      <family val="1"/>
    </font>
    <font>
      <sz val="10"/>
      <color indexed="2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2" fillId="0" borderId="0" xfId="0" applyFont="1" applyAlignment="1">
      <alignment/>
    </xf>
    <xf numFmtId="49" fontId="1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49" fontId="1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" fillId="33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2" fontId="9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/>
    </xf>
    <xf numFmtId="49" fontId="9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justify"/>
    </xf>
    <xf numFmtId="1" fontId="1" fillId="33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wrapText="1"/>
    </xf>
    <xf numFmtId="190" fontId="5" fillId="0" borderId="10" xfId="6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190" fontId="7" fillId="0" borderId="10" xfId="6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2" fontId="1" fillId="33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9" fontId="3" fillId="34" borderId="0" xfId="0" applyNumberFormat="1" applyFont="1" applyFill="1" applyAlignment="1">
      <alignment wrapText="1"/>
    </xf>
    <xf numFmtId="49" fontId="0" fillId="34" borderId="0" xfId="0" applyNumberFormat="1" applyFill="1" applyAlignment="1">
      <alignment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49" fontId="2" fillId="34" borderId="0" xfId="0" applyNumberFormat="1" applyFont="1" applyFill="1" applyAlignment="1">
      <alignment/>
    </xf>
    <xf numFmtId="0" fontId="5" fillId="0" borderId="10" xfId="0" applyFont="1" applyBorder="1" applyAlignment="1">
      <alignment/>
    </xf>
    <xf numFmtId="2" fontId="2" fillId="34" borderId="10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49" fontId="7" fillId="0" borderId="12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" fillId="33" borderId="12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36" borderId="10" xfId="0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/>
    </xf>
    <xf numFmtId="186" fontId="5" fillId="0" borderId="10" xfId="0" applyNumberFormat="1" applyFont="1" applyBorder="1" applyAlignment="1">
      <alignment horizontal="center"/>
    </xf>
    <xf numFmtId="0" fontId="13" fillId="36" borderId="10" xfId="0" applyFont="1" applyFill="1" applyBorder="1" applyAlignment="1">
      <alignment horizontal="center" vertical="center" wrapText="1"/>
    </xf>
    <xf numFmtId="49" fontId="13" fillId="36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2" fillId="0" borderId="10" xfId="0" applyFont="1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7" fillId="0" borderId="10" xfId="0" applyFont="1" applyBorder="1" applyAlignment="1">
      <alignment wrapText="1"/>
    </xf>
    <xf numFmtId="49" fontId="17" fillId="0" borderId="0" xfId="0" applyNumberFormat="1" applyFont="1" applyAlignment="1">
      <alignment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49" fontId="1" fillId="33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17" fillId="0" borderId="10" xfId="0" applyNumberFormat="1" applyFont="1" applyBorder="1" applyAlignment="1">
      <alignment wrapText="1"/>
    </xf>
    <xf numFmtId="49" fontId="17" fillId="34" borderId="0" xfId="0" applyNumberFormat="1" applyFont="1" applyFill="1" applyAlignment="1">
      <alignment wrapText="1"/>
    </xf>
    <xf numFmtId="49" fontId="17" fillId="34" borderId="10" xfId="0" applyNumberFormat="1" applyFont="1" applyFill="1" applyBorder="1" applyAlignment="1">
      <alignment wrapText="1"/>
    </xf>
    <xf numFmtId="0" fontId="17" fillId="34" borderId="0" xfId="0" applyFont="1" applyFill="1" applyAlignment="1">
      <alignment/>
    </xf>
    <xf numFmtId="0" fontId="2" fillId="34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/>
    </xf>
    <xf numFmtId="1" fontId="7" fillId="0" borderId="12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49" fontId="18" fillId="0" borderId="0" xfId="0" applyNumberFormat="1" applyFont="1" applyAlignment="1">
      <alignment/>
    </xf>
    <xf numFmtId="2" fontId="1" fillId="0" borderId="11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 wrapText="1"/>
    </xf>
    <xf numFmtId="1" fontId="5" fillId="0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9" fillId="33" borderId="10" xfId="0" applyNumberFormat="1" applyFont="1" applyFill="1" applyBorder="1" applyAlignment="1">
      <alignment horizontal="center" wrapText="1"/>
    </xf>
    <xf numFmtId="186" fontId="1" fillId="0" borderId="10" xfId="0" applyNumberFormat="1" applyFont="1" applyFill="1" applyBorder="1" applyAlignment="1">
      <alignment horizontal="center" wrapText="1"/>
    </xf>
    <xf numFmtId="186" fontId="7" fillId="0" borderId="10" xfId="0" applyNumberFormat="1" applyFont="1" applyBorder="1" applyAlignment="1">
      <alignment horizontal="center"/>
    </xf>
    <xf numFmtId="186" fontId="1" fillId="33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center" wrapText="1"/>
    </xf>
    <xf numFmtId="49" fontId="6" fillId="36" borderId="10" xfId="0" applyNumberFormat="1" applyFont="1" applyFill="1" applyBorder="1" applyAlignment="1">
      <alignment horizontal="center" wrapText="1"/>
    </xf>
    <xf numFmtId="191" fontId="1" fillId="0" borderId="10" xfId="0" applyNumberFormat="1" applyFont="1" applyBorder="1" applyAlignment="1">
      <alignment horizontal="center"/>
    </xf>
    <xf numFmtId="191" fontId="1" fillId="33" borderId="10" xfId="0" applyNumberFormat="1" applyFont="1" applyFill="1" applyBorder="1" applyAlignment="1">
      <alignment horizontal="center" wrapText="1"/>
    </xf>
    <xf numFmtId="191" fontId="5" fillId="0" borderId="10" xfId="0" applyNumberFormat="1" applyFont="1" applyBorder="1" applyAlignment="1">
      <alignment horizontal="center"/>
    </xf>
    <xf numFmtId="191" fontId="9" fillId="33" borderId="10" xfId="0" applyNumberFormat="1" applyFont="1" applyFill="1" applyBorder="1" applyAlignment="1">
      <alignment horizontal="center" wrapText="1"/>
    </xf>
    <xf numFmtId="191" fontId="1" fillId="33" borderId="0" xfId="0" applyNumberFormat="1" applyFont="1" applyFill="1" applyAlignment="1">
      <alignment horizontal="center" wrapText="1"/>
    </xf>
    <xf numFmtId="191" fontId="5" fillId="0" borderId="0" xfId="0" applyNumberFormat="1" applyFont="1" applyAlignment="1">
      <alignment horizontal="center"/>
    </xf>
    <xf numFmtId="191" fontId="7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87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37" borderId="10" xfId="0" applyFont="1" applyFill="1" applyBorder="1" applyAlignment="1">
      <alignment/>
    </xf>
    <xf numFmtId="0" fontId="1" fillId="37" borderId="10" xfId="0" applyFont="1" applyFill="1" applyBorder="1" applyAlignment="1">
      <alignment wrapText="1"/>
    </xf>
    <xf numFmtId="0" fontId="16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left" wrapText="1"/>
    </xf>
    <xf numFmtId="0" fontId="17" fillId="0" borderId="13" xfId="0" applyFont="1" applyFill="1" applyBorder="1" applyAlignment="1">
      <alignment wrapText="1"/>
    </xf>
    <xf numFmtId="49" fontId="17" fillId="0" borderId="14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6.375" style="0" customWidth="1"/>
    <col min="2" max="2" width="52.00390625" style="0" customWidth="1"/>
    <col min="3" max="3" width="12.875" style="0" customWidth="1"/>
    <col min="4" max="4" width="12.25390625" style="0" customWidth="1"/>
    <col min="5" max="5" width="11.125" style="0" customWidth="1"/>
    <col min="6" max="6" width="12.625" style="0" customWidth="1"/>
    <col min="7" max="7" width="12.375" style="0" customWidth="1"/>
    <col min="8" max="8" width="12.875" style="0" customWidth="1"/>
    <col min="9" max="9" width="13.125" style="0" customWidth="1"/>
    <col min="10" max="10" width="13.00390625" style="0" customWidth="1"/>
    <col min="11" max="11" width="15.875" style="0" customWidth="1"/>
    <col min="12" max="12" width="17.625" style="0" customWidth="1"/>
  </cols>
  <sheetData>
    <row r="1" ht="20.25">
      <c r="D1" s="67" t="s">
        <v>122</v>
      </c>
    </row>
    <row r="2" spans="1:12" ht="115.5" customHeight="1">
      <c r="A2" s="52" t="s">
        <v>110</v>
      </c>
      <c r="B2" s="62" t="s">
        <v>0</v>
      </c>
      <c r="C2" s="123" t="s">
        <v>123</v>
      </c>
      <c r="D2" s="123" t="s">
        <v>124</v>
      </c>
      <c r="E2" s="123" t="s">
        <v>134</v>
      </c>
      <c r="F2" s="123" t="s">
        <v>145</v>
      </c>
      <c r="G2" s="123" t="s">
        <v>146</v>
      </c>
      <c r="H2" s="123" t="s">
        <v>127</v>
      </c>
      <c r="I2" s="123" t="s">
        <v>147</v>
      </c>
      <c r="J2" s="123" t="s">
        <v>148</v>
      </c>
      <c r="K2" s="124" t="s">
        <v>109</v>
      </c>
      <c r="L2" s="61"/>
    </row>
    <row r="3" spans="1:12" ht="23.25" customHeight="1">
      <c r="A3" s="52">
        <v>1</v>
      </c>
      <c r="B3" s="1" t="s">
        <v>14</v>
      </c>
      <c r="C3" s="15">
        <f>'2.1.Вид дія'!E10</f>
        <v>0.69</v>
      </c>
      <c r="D3" s="26">
        <f>'2.2. Інд.якості НПП'!J7</f>
        <v>1.530213464696223</v>
      </c>
      <c r="E3" s="41">
        <f>'2.3.Якість осв пр'!H5</f>
        <v>1.6500000000000001</v>
      </c>
      <c r="F3" s="26">
        <f>'2.4. І як.наукової роботи'!K5</f>
        <v>1.0039175969978174</v>
      </c>
      <c r="G3" s="26">
        <f>'2.5. І. між.ак.'!E3</f>
        <v>0.1144578313253012</v>
      </c>
      <c r="H3" s="26">
        <f>'2.6.-2.6.1. І фін.активність'!E4</f>
        <v>0.07916552041328825</v>
      </c>
      <c r="I3" s="26">
        <f>'2.6.2. І фін наук діяльності'!E3</f>
        <v>0.3087739543658349</v>
      </c>
      <c r="J3" s="26">
        <f>'2.7. І вебометричних показн.'!K6</f>
        <v>0.19302881222524396</v>
      </c>
      <c r="K3" s="64">
        <f aca="true" t="shared" si="0" ref="K3:K35">(0.2*C3)+(0.1*D3)+(0.2*E3)+(0.2*F3)+(0.1*G3)+(0.1*(H3+I3)+0.05*J3)</f>
        <v>0.8816960370908905</v>
      </c>
      <c r="L3" s="61"/>
    </row>
    <row r="4" spans="1:12" ht="15.75" customHeight="1">
      <c r="A4" s="52">
        <v>2</v>
      </c>
      <c r="B4" s="1" t="s">
        <v>9</v>
      </c>
      <c r="C4" s="15">
        <f>'2.1.Вид дія'!E4</f>
        <v>1.2281334535617674</v>
      </c>
      <c r="D4" s="26">
        <f>'2.2. Інд.якості НПП'!J6</f>
        <v>1.5862068965517242</v>
      </c>
      <c r="E4" s="41">
        <f>'2.3.Якість осв пр'!H7</f>
        <v>1.35</v>
      </c>
      <c r="F4" s="26">
        <f>'2.4. І як.наукової роботи'!K9</f>
        <v>0.7503776280873647</v>
      </c>
      <c r="G4" s="26">
        <f>'2.5. І. між.ак.'!E23</f>
        <v>0.018072289156626505</v>
      </c>
      <c r="H4" s="26">
        <f>'2.6.-2.6.1. І фін.активність'!E6</f>
        <v>0.0658094602329397</v>
      </c>
      <c r="I4" s="26">
        <v>0</v>
      </c>
      <c r="J4" s="26">
        <f>'2.7. І вебометричних показн.'!K24</f>
        <v>0.03687639372649222</v>
      </c>
      <c r="K4" s="64">
        <f t="shared" si="0"/>
        <v>0.8345549006102801</v>
      </c>
      <c r="L4" s="61"/>
    </row>
    <row r="5" spans="1:12" ht="35.25" customHeight="1">
      <c r="A5" s="52">
        <v>3</v>
      </c>
      <c r="B5" s="1" t="s">
        <v>5</v>
      </c>
      <c r="C5" s="15">
        <f>'2.1.Вид дія'!E8</f>
        <v>0.8025247971145175</v>
      </c>
      <c r="D5" s="26">
        <f>'2.2. Інд.якості НПП'!J28</f>
        <v>0.7505747126436781</v>
      </c>
      <c r="E5" s="41">
        <f>'2.3.Якість осв пр'!H16</f>
        <v>1.1500000000000001</v>
      </c>
      <c r="F5" s="26">
        <f>'2.4. І як.наукової роботи'!K3</f>
        <v>1.50432741375791</v>
      </c>
      <c r="G5" s="26">
        <f>'2.5. І. між.ак.'!E7</f>
        <v>0.060240963855421686</v>
      </c>
      <c r="H5" s="26">
        <f>'2.6.-2.6.1. І фін.активність'!E29</f>
        <v>0.012164481830792329</v>
      </c>
      <c r="I5" s="26">
        <f>'2.6.2. І фін наук діяльності'!E4</f>
        <v>0.20788763885250267</v>
      </c>
      <c r="J5" s="26">
        <f>'2.7. І вебометричних показн.'!K13</f>
        <v>0.07657996110666394</v>
      </c>
      <c r="K5" s="64">
        <f t="shared" si="0"/>
        <v>0.7982862199480583</v>
      </c>
      <c r="L5" s="61"/>
    </row>
    <row r="6" spans="1:12" ht="31.5">
      <c r="A6" s="52">
        <v>4</v>
      </c>
      <c r="B6" s="1" t="s">
        <v>4</v>
      </c>
      <c r="C6" s="15">
        <f>'2.1.Вид дія'!E21</f>
        <v>0.3211226330027051</v>
      </c>
      <c r="D6" s="26">
        <f>'2.2. Інд.якості НПП'!J10</f>
        <v>1.3421750663129974</v>
      </c>
      <c r="E6" s="41">
        <f>'2.3.Якість осв пр'!H4</f>
        <v>1.8900000000000001</v>
      </c>
      <c r="F6" s="26">
        <f>'2.4. І як.наукової роботи'!K4</f>
        <v>1.0684723726977248</v>
      </c>
      <c r="G6" s="26">
        <f>'2.5. І. між.ак.'!E21</f>
        <v>0.024096385542168676</v>
      </c>
      <c r="H6" s="26">
        <f>'2.6.-2.6.1. І фін.активність'!E12</f>
        <v>0.037930454329774654</v>
      </c>
      <c r="I6" s="26">
        <v>0</v>
      </c>
      <c r="J6" s="26">
        <f>'2.7. І вебометричних показн.'!K26</f>
        <v>0.03449466933223392</v>
      </c>
      <c r="K6" s="64">
        <f t="shared" si="0"/>
        <v>0.7980639252251918</v>
      </c>
      <c r="L6" s="61"/>
    </row>
    <row r="7" spans="1:12" ht="15.75">
      <c r="A7" s="52">
        <v>5</v>
      </c>
      <c r="B7" s="1" t="s">
        <v>15</v>
      </c>
      <c r="C7" s="15">
        <f>'2.1.Вид дія'!E11</f>
        <v>0.5133054342262467</v>
      </c>
      <c r="D7" s="26">
        <f>'2.2. Інд.якості НПП'!J23</f>
        <v>0.9898399014778324</v>
      </c>
      <c r="E7" s="41">
        <f>'2.3.Якість осв пр'!H3</f>
        <v>1.96</v>
      </c>
      <c r="F7" s="26">
        <f>'2.4. І як.наукової роботи'!K11</f>
        <v>0.7192409753952926</v>
      </c>
      <c r="G7" s="26">
        <f>'2.5. І. між.ак.'!E10</f>
        <v>0.04819277108433735</v>
      </c>
      <c r="H7" s="26">
        <f>'2.6.-2.6.1. І фін.активність'!E5</f>
        <v>0.0666100612017608</v>
      </c>
      <c r="I7" s="26">
        <f>'2.6.2. І фін наук діяльності'!E5</f>
        <v>0.19498269547536798</v>
      </c>
      <c r="J7" s="26">
        <f>'2.7. І вебометричних показн.'!K22</f>
        <v>0.041435759037429354</v>
      </c>
      <c r="K7" s="64">
        <f t="shared" si="0"/>
        <v>0.7705436128001093</v>
      </c>
      <c r="L7" s="61"/>
    </row>
    <row r="8" spans="1:12" ht="33" customHeight="1">
      <c r="A8" s="52">
        <v>6</v>
      </c>
      <c r="B8" s="1" t="s">
        <v>8</v>
      </c>
      <c r="C8" s="15">
        <f>'2.1.Вид дія'!E3</f>
        <v>1.2641649502702237</v>
      </c>
      <c r="D8" s="26">
        <f>'2.2. Інд.якості НПП'!J29</f>
        <v>0.7445141065830722</v>
      </c>
      <c r="E8" s="41">
        <f>'2.3.Якість осв пр'!H13</f>
        <v>1.21</v>
      </c>
      <c r="F8" s="26">
        <v>0.63</v>
      </c>
      <c r="G8" s="26">
        <f>'2.5. І. між.ак.'!E12</f>
        <v>0.04216867469879518</v>
      </c>
      <c r="H8" s="26">
        <f>'2.6.-2.6.1. І фін.активність'!E25</f>
        <v>0.01742562090431327</v>
      </c>
      <c r="I8" s="26">
        <v>0</v>
      </c>
      <c r="J8" s="26">
        <f>'2.7. І вебометричних показн.'!K34</f>
        <v>0.013875668851121448</v>
      </c>
      <c r="K8" s="64">
        <f t="shared" si="0"/>
        <v>0.7019376137152189</v>
      </c>
      <c r="L8" s="61"/>
    </row>
    <row r="9" spans="1:12" ht="15.75">
      <c r="A9" s="52">
        <v>7</v>
      </c>
      <c r="B9" s="1" t="s">
        <v>21</v>
      </c>
      <c r="C9" s="15">
        <f>'2.1.Вид дія'!E7</f>
        <v>0.8847272236720063</v>
      </c>
      <c r="D9" s="26">
        <f>'2.2. Інд.якості НПП'!J5</f>
        <v>1.590185676392573</v>
      </c>
      <c r="E9" s="41">
        <f>'2.3.Якість осв пр'!H22</f>
        <v>0.9400000000000001</v>
      </c>
      <c r="F9" s="26">
        <f>'2.4. І як.наукової роботи'!K17</f>
        <v>0.5278141535949252</v>
      </c>
      <c r="G9" s="26">
        <f>'2.5. І. між.ак.'!E13</f>
        <v>0.04216867469879518</v>
      </c>
      <c r="H9" s="26">
        <f>'2.6.-2.6.1. І фін.активність'!E7</f>
        <v>0.06508267798890234</v>
      </c>
      <c r="I9" s="26">
        <v>0</v>
      </c>
      <c r="J9" s="26">
        <f>'2.7. І вебометричних показн.'!K9</f>
        <v>0.0968595575759424</v>
      </c>
      <c r="K9" s="64">
        <f t="shared" si="0"/>
        <v>0.6450949562402105</v>
      </c>
      <c r="L9" s="61"/>
    </row>
    <row r="10" spans="1:12" ht="15.75" customHeight="1">
      <c r="A10" s="52">
        <v>8</v>
      </c>
      <c r="B10" s="1" t="s">
        <v>20</v>
      </c>
      <c r="C10" s="15">
        <f>'2.1.Вид дія'!E20</f>
        <v>0.32709648331830476</v>
      </c>
      <c r="D10" s="26">
        <f>'2.2. Інд.якості НПП'!J4</f>
        <v>1.59717868338558</v>
      </c>
      <c r="E10" s="41">
        <f>'2.3.Якість осв пр'!H15</f>
        <v>1.19</v>
      </c>
      <c r="F10" s="26">
        <f>'2.4. І як.наукової роботи'!K8</f>
        <v>0.764631714478622</v>
      </c>
      <c r="G10" s="26">
        <f>'2.5. І. між.ак.'!E8</f>
        <v>0.04819277108433735</v>
      </c>
      <c r="H10" s="26">
        <f>'2.6.-2.6.1. І фін.активність'!E13</f>
        <v>0.03424513186285771</v>
      </c>
      <c r="I10" s="26">
        <v>0</v>
      </c>
      <c r="J10" s="26">
        <f>'2.7. І вебометричних показн.'!K33</f>
        <v>0.014616773152782498</v>
      </c>
      <c r="K10" s="64">
        <f t="shared" si="0"/>
        <v>0.6250381368503021</v>
      </c>
      <c r="L10" s="61"/>
    </row>
    <row r="11" spans="1:12" ht="15.75">
      <c r="A11" s="52">
        <v>9</v>
      </c>
      <c r="B11" s="1" t="s">
        <v>11</v>
      </c>
      <c r="C11" s="15">
        <f>'2.1.Вид дія'!E5</f>
        <v>1.0522548317823908</v>
      </c>
      <c r="D11" s="26">
        <f>'2.2. Інд.якості НПП'!J11</f>
        <v>1.2846195949644226</v>
      </c>
      <c r="E11" s="41">
        <f>'2.3.Якість осв пр'!H26</f>
        <v>0.82</v>
      </c>
      <c r="F11" s="26">
        <f>'2.4. І як.наукової роботи'!K20</f>
        <v>0.43457534504686984</v>
      </c>
      <c r="G11" s="26">
        <f>'2.5. І. між.ак.'!E11</f>
        <v>0.04216867469879518</v>
      </c>
      <c r="H11" s="26">
        <f>'2.6.-2.6.1. І фін.активність'!E11</f>
        <v>0.039621749305023005</v>
      </c>
      <c r="I11" s="26">
        <v>0</v>
      </c>
      <c r="J11" s="26">
        <f>'2.7. І вебометричних показн.'!K7</f>
        <v>0.1816660101127403</v>
      </c>
      <c r="K11" s="64">
        <f t="shared" si="0"/>
        <v>0.6070903377683132</v>
      </c>
      <c r="L11" s="61"/>
    </row>
    <row r="12" spans="1:12" ht="15.75">
      <c r="A12" s="52">
        <v>10</v>
      </c>
      <c r="B12" s="1" t="s">
        <v>27</v>
      </c>
      <c r="C12" s="15">
        <f>'2.1.Вид дія'!E22</f>
        <v>0.3</v>
      </c>
      <c r="D12" s="26">
        <f>'2.2. Інд.якості НПП'!J14</f>
        <v>1.2345812807881773</v>
      </c>
      <c r="E12" s="41">
        <f>'2.3.Якість осв пр'!H18</f>
        <v>1.1</v>
      </c>
      <c r="F12" s="26">
        <f>'2.4. І як.наукової роботи'!K6</f>
        <v>0.9003281674439053</v>
      </c>
      <c r="G12" s="26">
        <f>'2.5. І. між.ак.'!E24</f>
        <v>0.012048192771084338</v>
      </c>
      <c r="H12" s="26">
        <f>'2.6.-2.6.1. І фін.активність'!E8</f>
        <v>0.050555399663124334</v>
      </c>
      <c r="I12" s="26">
        <v>0</v>
      </c>
      <c r="J12" s="26">
        <f>'2.7. І вебометричних показн.'!K3</f>
        <v>0.25716525332150797</v>
      </c>
      <c r="K12" s="64">
        <f t="shared" si="0"/>
        <v>0.6026423834770951</v>
      </c>
      <c r="L12" s="61"/>
    </row>
    <row r="13" spans="1:12" ht="30.75" customHeight="1">
      <c r="A13" s="52">
        <v>11</v>
      </c>
      <c r="B13" s="1" t="s">
        <v>26</v>
      </c>
      <c r="C13" s="15">
        <f>'2.1.Вид дія'!E6</f>
        <v>1.04</v>
      </c>
      <c r="D13" s="26">
        <f>'2.2. Інд.якості НПП'!J27</f>
        <v>0.8172413793103449</v>
      </c>
      <c r="E13" s="41">
        <f>'2.3.Якість осв пр'!H17</f>
        <v>1.15</v>
      </c>
      <c r="F13" s="26">
        <f>'2.4. І як.наукової роботи'!K28</f>
        <v>0.3231413004223782</v>
      </c>
      <c r="G13" s="26">
        <f>'2.5. І. між.ак.'!E28</f>
        <v>0.006024096385542169</v>
      </c>
      <c r="H13" s="26">
        <f>'2.6.-2.6.1. І фін.активність'!E32</f>
        <v>0.009350315538366323</v>
      </c>
      <c r="I13" s="26">
        <f>'2.6.2. І фін наук діяльності'!E7</f>
        <v>0.07071008124234784</v>
      </c>
      <c r="J13" s="26">
        <f>'2.7. І вебометричних показн.'!K29</f>
        <v>0.026145808035942984</v>
      </c>
      <c r="K13" s="64">
        <f t="shared" si="0"/>
        <v>0.5942681377339328</v>
      </c>
      <c r="L13" s="61"/>
    </row>
    <row r="14" spans="1:12" ht="15.75">
      <c r="A14" s="52">
        <v>12</v>
      </c>
      <c r="B14" s="1" t="s">
        <v>13</v>
      </c>
      <c r="C14" s="15">
        <f>'2.1.Вид дія'!E9</f>
        <v>0.7039914850384663</v>
      </c>
      <c r="D14" s="26">
        <f>'2.2. Інд.якості НПП'!J30</f>
        <v>0.7394636015325672</v>
      </c>
      <c r="E14" s="41">
        <f>'2.3.Якість осв пр'!H10</f>
        <v>1.33</v>
      </c>
      <c r="F14" s="26">
        <f>'2.4. І як.наукової роботи'!K22</f>
        <v>0.4249674187824831</v>
      </c>
      <c r="G14" s="26">
        <f>'2.5. І. між.ак.'!E4</f>
        <v>0.0963855421686747</v>
      </c>
      <c r="H14" s="26">
        <f>'2.6.-2.6.1. І фін.активність'!E24</f>
        <v>0.01882164098042676</v>
      </c>
      <c r="I14" s="26">
        <f>'2.6.2. І фін наук діяльності'!E9</f>
        <v>0.07071008124234784</v>
      </c>
      <c r="J14" s="26">
        <f>'2.7. І вебометричних показн.'!K19</f>
        <v>0.049333978543142885</v>
      </c>
      <c r="K14" s="64">
        <f t="shared" si="0"/>
        <v>0.5867965662837488</v>
      </c>
      <c r="L14" s="61"/>
    </row>
    <row r="15" spans="1:12" ht="15.75">
      <c r="A15" s="52">
        <v>13</v>
      </c>
      <c r="B15" s="1" t="s">
        <v>31</v>
      </c>
      <c r="C15" s="15">
        <f>'2.1.Вид дія'!E30</f>
        <v>0.11057258791704237</v>
      </c>
      <c r="D15" s="26">
        <f>'2.2. Інд.якості НПП'!J24</f>
        <v>0.9748010610079576</v>
      </c>
      <c r="E15" s="41">
        <f>'2.3.Якість осв пр'!H6</f>
        <v>1.4000000000000001</v>
      </c>
      <c r="F15" s="26">
        <f>'2.4. І як.наукової роботи'!K12</f>
        <v>0.7184244822334229</v>
      </c>
      <c r="G15" s="26">
        <f>'2.5. І. між.ак.'!E17</f>
        <v>0.030120481927710843</v>
      </c>
      <c r="H15" s="26">
        <f>'2.6.-2.6.1. І фін.активність'!E33</f>
        <v>0.00904838808103782</v>
      </c>
      <c r="I15" s="26">
        <v>0</v>
      </c>
      <c r="J15" s="26">
        <f>'2.7. І вебометричних показн.'!K21</f>
        <v>0.048450704225352116</v>
      </c>
      <c r="K15" s="64">
        <f t="shared" si="0"/>
        <v>0.5496189423430314</v>
      </c>
      <c r="L15" s="61"/>
    </row>
    <row r="16" spans="1:12" ht="15.75">
      <c r="A16" s="52">
        <v>14</v>
      </c>
      <c r="B16" s="1" t="s">
        <v>16</v>
      </c>
      <c r="C16" s="15">
        <f>'2.1.Вид дія'!E31</f>
        <v>0.10268259693417492</v>
      </c>
      <c r="D16" s="26">
        <f>'2.2. Інд.якості НПП'!J12</f>
        <v>1.2434318555008208</v>
      </c>
      <c r="E16" s="41">
        <f>'2.3.Якість осв пр'!H14</f>
        <v>1.21</v>
      </c>
      <c r="F16" s="26">
        <f>'2.4. І як.наукової роботи'!K13</f>
        <v>0.7145602713269584</v>
      </c>
      <c r="G16" s="26">
        <f>'2.5. І. між.ак.'!E9</f>
        <v>0.04819277108433735</v>
      </c>
      <c r="H16" s="26">
        <f>'2.6.-2.6.1. І фін.активність'!E31</f>
        <v>0.011038991907429149</v>
      </c>
      <c r="I16" s="26">
        <v>0</v>
      </c>
      <c r="J16" s="26">
        <f>'2.7. І вебометричних показн.'!K25</f>
        <v>0.03638726173337333</v>
      </c>
      <c r="K16" s="64">
        <f t="shared" si="0"/>
        <v>0.537534298588154</v>
      </c>
      <c r="L16" s="61"/>
    </row>
    <row r="17" spans="1:12" ht="34.5" customHeight="1">
      <c r="A17" s="52">
        <v>15</v>
      </c>
      <c r="B17" s="1" t="s">
        <v>28</v>
      </c>
      <c r="C17" s="15">
        <f>'2.1.Вид дія'!E17</f>
        <v>0.36</v>
      </c>
      <c r="D17" s="26">
        <f>'2.2. Інд.якості НПП'!J22</f>
        <v>1</v>
      </c>
      <c r="E17" s="41">
        <f>'2.3.Якість осв пр'!H24</f>
        <v>0.9099999999999999</v>
      </c>
      <c r="F17" s="26">
        <f>'2.4. І як.наукової роботи'!K7</f>
        <v>0.821282208299967</v>
      </c>
      <c r="G17" s="26">
        <f>'2.5. І. між.ак.'!E31</f>
        <v>0</v>
      </c>
      <c r="H17" s="26">
        <f>'2.6.-2.6.1. І фін.активність'!E14</f>
        <v>0.03391806578614815</v>
      </c>
      <c r="I17" s="26">
        <f>'2.6.2. І фін наук діяльності'!E6</f>
        <v>0.07622546757925097</v>
      </c>
      <c r="J17" s="26">
        <f>'2.7. І вебометричних показн.'!K27</f>
        <v>0.03264117835322741</v>
      </c>
      <c r="K17" s="64">
        <f t="shared" si="0"/>
        <v>0.5309028539141947</v>
      </c>
      <c r="L17" s="61"/>
    </row>
    <row r="18" spans="1:12" ht="18" customHeight="1">
      <c r="A18" s="52">
        <v>16</v>
      </c>
      <c r="B18" s="1" t="s">
        <v>12</v>
      </c>
      <c r="C18" s="15">
        <f>'2.1.Вид дія'!E26</f>
        <v>0.24053201082055906</v>
      </c>
      <c r="D18" s="26">
        <f>'2.2. Інд.якості НПП'!J32</f>
        <v>0.6134453781512605</v>
      </c>
      <c r="E18" s="41">
        <f>'2.3.Якість осв пр'!H8</f>
        <v>1.3499999999999999</v>
      </c>
      <c r="F18" s="26">
        <f>'2.4. І як.наукової роботи'!K14</f>
        <v>0.6748598615101983</v>
      </c>
      <c r="G18" s="26">
        <f>'2.5. І. між.ак.'!E18</f>
        <v>0.030120481927710843</v>
      </c>
      <c r="H18" s="26">
        <f>'2.6.-2.6.1. І фін.активність'!E18</f>
        <v>0.022084930695730642</v>
      </c>
      <c r="I18" s="26">
        <f>'2.6.2. І фін наук діяльності'!E8</f>
        <v>0.07071008124234784</v>
      </c>
      <c r="J18" s="26">
        <f>'2.7. І вебометричних показн.'!K18</f>
        <v>0.05274970182819777</v>
      </c>
      <c r="K18" s="64">
        <f t="shared" si="0"/>
        <v>0.5293519467592664</v>
      </c>
      <c r="L18" s="61"/>
    </row>
    <row r="19" spans="1:12" ht="18" customHeight="1">
      <c r="A19" s="52">
        <v>17</v>
      </c>
      <c r="B19" s="1" t="s">
        <v>10</v>
      </c>
      <c r="C19" s="15">
        <f>'2.1.Вид дія'!E19</f>
        <v>0.3303651938683499</v>
      </c>
      <c r="D19" s="26">
        <f>'2.2. Інд.якості НПП'!J13</f>
        <v>1.235632183908046</v>
      </c>
      <c r="E19" s="41">
        <f>'2.3.Якість осв пр'!H20</f>
        <v>1.04</v>
      </c>
      <c r="F19" s="26">
        <f>'2.4. І як.наукової роботи'!K16</f>
        <v>0.5760516274906967</v>
      </c>
      <c r="G19" s="26">
        <f>'2.5. І. між.ак.'!E22</f>
        <v>0.018072289156626505</v>
      </c>
      <c r="H19" s="26">
        <f>'2.6.-2.6.1. І фін.активність'!E15</f>
        <v>0.031993061290910264</v>
      </c>
      <c r="I19" s="26">
        <v>0</v>
      </c>
      <c r="J19" s="26">
        <f>'2.7. І вебометричних показн.'!K28</f>
        <v>0.03259958828255484</v>
      </c>
      <c r="K19" s="64">
        <f t="shared" si="0"/>
        <v>0.5194830971214954</v>
      </c>
      <c r="L19" s="61"/>
    </row>
    <row r="20" spans="1:12" ht="19.5" customHeight="1">
      <c r="A20" s="52">
        <v>18</v>
      </c>
      <c r="B20" s="1" t="s">
        <v>29</v>
      </c>
      <c r="C20" s="15">
        <f>'2.1.Вид дія'!E33</f>
        <v>0.054553651938683494</v>
      </c>
      <c r="D20" s="26">
        <f>'2.2. Інд.якості НПП'!J9</f>
        <v>1.359416445623342</v>
      </c>
      <c r="E20" s="41">
        <f>'2.3.Якість осв пр'!H9</f>
        <v>1.33</v>
      </c>
      <c r="F20" s="26">
        <f>'2.4. І як.наукової роботи'!K19</f>
        <v>0.47262549656915853</v>
      </c>
      <c r="G20" s="26">
        <f>'2.5. І. між.ак.'!E15</f>
        <v>0.03614457831325301</v>
      </c>
      <c r="H20" s="26">
        <f>'2.6.-2.6.1. І фін.активність'!E9</f>
        <v>0.04815470479498086</v>
      </c>
      <c r="I20" s="26">
        <v>0</v>
      </c>
      <c r="J20" s="26">
        <f>'2.7. І вебометричних показн.'!K20</f>
        <v>0.04868381331501516</v>
      </c>
      <c r="K20" s="64">
        <f t="shared" si="0"/>
        <v>0.5182415932404768</v>
      </c>
      <c r="L20" s="61"/>
    </row>
    <row r="21" spans="1:12" ht="30" customHeight="1">
      <c r="A21" s="52">
        <v>19</v>
      </c>
      <c r="B21" s="1" t="s">
        <v>22</v>
      </c>
      <c r="C21" s="15">
        <f>'2.1.Вид дія'!E23</f>
        <v>0.3032010820559062</v>
      </c>
      <c r="D21" s="26">
        <f>'2.2. Інд.якості НПП'!J18</f>
        <v>1.0666666666666667</v>
      </c>
      <c r="E21" s="41">
        <f>'2.3.Якість осв пр'!H12</f>
        <v>1.22</v>
      </c>
      <c r="F21" s="26">
        <f>'2.4. І як.наукової роботи'!K25</f>
        <v>0.3846829023191546</v>
      </c>
      <c r="G21" s="26">
        <f>'2.5. І. між.ак.'!E6</f>
        <v>0.060240963855421686</v>
      </c>
      <c r="H21" s="26">
        <f>'2.6.-2.6.1. І фін.активність'!E20</f>
        <v>0.021133645171962593</v>
      </c>
      <c r="I21" s="26">
        <v>0</v>
      </c>
      <c r="J21" s="26">
        <f>'2.7. І вебометричних показн.'!K17</f>
        <v>0.05779755604880783</v>
      </c>
      <c r="K21" s="64">
        <f t="shared" si="0"/>
        <v>0.49927080224685766</v>
      </c>
      <c r="L21" s="61"/>
    </row>
    <row r="22" spans="1:12" ht="15.75">
      <c r="A22" s="52">
        <v>20</v>
      </c>
      <c r="B22" s="1" t="s">
        <v>32</v>
      </c>
      <c r="C22" s="15">
        <f>'2.1.Вид дія'!E12</f>
        <v>0.5027051397655545</v>
      </c>
      <c r="D22" s="26">
        <f>'2.2. Інд.якості НПП'!J21</f>
        <v>1</v>
      </c>
      <c r="E22" s="41">
        <f>'2.3.Якість осв пр'!H23</f>
        <v>0.93</v>
      </c>
      <c r="F22" s="26">
        <f>'2.4. І як.наукової роботи'!K27</f>
        <v>0.3470739711401071</v>
      </c>
      <c r="G22" s="26">
        <f>'2.5. І. між.ак.'!E5</f>
        <v>0.07228915662650602</v>
      </c>
      <c r="H22" s="26">
        <f>'2.6.-2.6.1. І фін.активність'!E23</f>
        <v>0.01926606389699475</v>
      </c>
      <c r="I22" s="26">
        <v>0</v>
      </c>
      <c r="J22" s="26">
        <f>'2.7. І вебометричних показн.'!K5</f>
        <v>0.2293926322023208</v>
      </c>
      <c r="K22" s="64">
        <f t="shared" si="0"/>
        <v>0.47658097584359854</v>
      </c>
      <c r="L22" s="61"/>
    </row>
    <row r="23" spans="1:12" ht="15.75">
      <c r="A23" s="52">
        <v>21</v>
      </c>
      <c r="B23" s="1" t="s">
        <v>23</v>
      </c>
      <c r="C23" s="15">
        <f>'2.1.Вид дія'!E18</f>
        <v>0.34</v>
      </c>
      <c r="D23" s="26">
        <f>'2.2. Інд.якості НПП'!J15</f>
        <v>1.1990595611285266</v>
      </c>
      <c r="E23" s="41">
        <f>'2.3.Якість осв пр'!H19</f>
        <v>1.06</v>
      </c>
      <c r="F23" s="26">
        <f>'2.4. І як.наукової роботи'!K29</f>
        <v>0.30102375681065213</v>
      </c>
      <c r="G23" s="26">
        <f>'2.5. І. між.ак.'!E19</f>
        <v>0.024096385542168676</v>
      </c>
      <c r="H23" s="26">
        <f>'2.6.-2.6.1. І фін.активність'!E28</f>
        <v>0.01405730993200839</v>
      </c>
      <c r="I23" s="26">
        <v>0</v>
      </c>
      <c r="J23" s="26">
        <f>'2.7. І вебометричних показн.'!K15</f>
        <v>0.06405510288873656</v>
      </c>
      <c r="K23" s="64">
        <f t="shared" si="0"/>
        <v>0.46712883216683765</v>
      </c>
      <c r="L23" s="61"/>
    </row>
    <row r="24" spans="1:12" ht="15.75">
      <c r="A24" s="52">
        <v>22</v>
      </c>
      <c r="B24" s="1" t="s">
        <v>6</v>
      </c>
      <c r="C24" s="15">
        <f>'2.1.Вид дія'!E15</f>
        <v>0.396190261496844</v>
      </c>
      <c r="D24" s="26">
        <f>'2.2. Інд.якості НПП'!J19</f>
        <v>1.0172413793103448</v>
      </c>
      <c r="E24" s="41">
        <f>'2.3.Якість осв пр'!H25</f>
        <v>0.87</v>
      </c>
      <c r="F24" s="26">
        <f>'2.4. І як.наукової роботи'!K24</f>
        <v>0.38794887496663366</v>
      </c>
      <c r="G24" s="26">
        <f>'2.5. І. між.ак.'!E20</f>
        <v>0.024096385542168676</v>
      </c>
      <c r="H24" s="26">
        <f>'2.6.-2.6.1. І фін.активність'!E16</f>
        <v>0.029093909325008556</v>
      </c>
      <c r="I24" s="26">
        <v>0</v>
      </c>
      <c r="J24" s="26">
        <f>'2.7. І вебометричних показн.'!K4</f>
        <v>0.24403677530676907</v>
      </c>
      <c r="K24" s="64">
        <f t="shared" si="0"/>
        <v>0.45007283347578625</v>
      </c>
      <c r="L24" s="61"/>
    </row>
    <row r="25" spans="1:12" ht="15.75">
      <c r="A25" s="52">
        <v>23</v>
      </c>
      <c r="B25" s="1" t="s">
        <v>131</v>
      </c>
      <c r="C25" s="15">
        <f>'2.1.Вид дія'!E28</f>
        <v>0.17346708746618575</v>
      </c>
      <c r="D25" s="26">
        <f>'2.2. Інд.якості НПП'!J26</f>
        <v>0.8571428571428571</v>
      </c>
      <c r="E25" s="41">
        <f>'2.3.Якість осв пр'!H11</f>
        <v>1.29</v>
      </c>
      <c r="F25" s="26">
        <f>'2.4. І як.наукової роботи'!K33</f>
        <v>0.20455508973573885</v>
      </c>
      <c r="G25" s="26">
        <f>'2.5. І. між.ак.'!E33</f>
        <v>0</v>
      </c>
      <c r="H25" s="26">
        <f>'2.6.-2.6.1. І фін.активність'!E17</f>
        <v>0.02570123449449156</v>
      </c>
      <c r="I25" s="26">
        <v>0</v>
      </c>
      <c r="J25" s="26">
        <f>'2.7. І вебометричних показн.'!K12</f>
        <v>0.07880891965705834</v>
      </c>
      <c r="K25" s="64">
        <f t="shared" si="0"/>
        <v>0.42582929058697266</v>
      </c>
      <c r="L25" s="61"/>
    </row>
    <row r="26" spans="1:12" ht="15.75">
      <c r="A26" s="52">
        <v>24</v>
      </c>
      <c r="B26" s="1" t="s">
        <v>34</v>
      </c>
      <c r="C26" s="15">
        <f>'2.1.Вид дія'!E16</f>
        <v>0.36896829997037317</v>
      </c>
      <c r="D26" s="26">
        <f>'2.2. Інд.якості НПП'!J34</f>
        <v>0.5344827586206896</v>
      </c>
      <c r="E26" s="41">
        <f>'2.3.Якість осв пр'!H21</f>
        <v>0.97</v>
      </c>
      <c r="F26" s="26">
        <f>'2.4. І як.наукової роботи'!K31</f>
        <v>0.280189049570556</v>
      </c>
      <c r="G26" s="26">
        <f>'2.5. І. між.ак.'!E14</f>
        <v>0.03614457831325301</v>
      </c>
      <c r="H26" s="26">
        <f>'2.6.-2.6.1. І фін.активність'!E34</f>
        <v>0.006581046439266704</v>
      </c>
      <c r="I26" s="26">
        <v>0</v>
      </c>
      <c r="J26" s="26">
        <f>'2.7. І вебометричних показн.'!K30</f>
        <v>0.02087398390613467</v>
      </c>
      <c r="K26" s="64">
        <f t="shared" si="0"/>
        <v>0.3825960074408135</v>
      </c>
      <c r="L26" s="61"/>
    </row>
    <row r="27" spans="1:12" ht="15.75">
      <c r="A27" s="52">
        <v>25</v>
      </c>
      <c r="B27" s="1" t="s">
        <v>17</v>
      </c>
      <c r="C27" s="15">
        <f>'2.1.Вид дія'!E14</f>
        <v>0.4484241156981371</v>
      </c>
      <c r="D27" s="26">
        <f>'2.2. Інд.якості НПП'!J8</f>
        <v>1.3922413793103448</v>
      </c>
      <c r="E27" s="41">
        <v>0</v>
      </c>
      <c r="F27" s="26">
        <f>'2.4. І як.наукової роботи'!K10</f>
        <v>0.7345863363009719</v>
      </c>
      <c r="G27" s="26">
        <f>'2.5. І. між.ак.'!E25</f>
        <v>0.012048192771084338</v>
      </c>
      <c r="H27" s="26">
        <f>'2.6.-2.6.1. І фін.активність'!E27</f>
        <v>0.014088668282114398</v>
      </c>
      <c r="I27" s="26">
        <v>0</v>
      </c>
      <c r="J27" s="26">
        <f>'2.7. І вебометричних показн.'!K14</f>
        <v>0.06421222081953763</v>
      </c>
      <c r="K27" s="64">
        <f t="shared" si="0"/>
        <v>0.381650525477153</v>
      </c>
      <c r="L27" s="61"/>
    </row>
    <row r="28" spans="1:12" ht="15.75">
      <c r="A28" s="52">
        <v>26</v>
      </c>
      <c r="B28" s="1" t="s">
        <v>30</v>
      </c>
      <c r="C28" s="15">
        <f>'2.1.Вид дія'!E13</f>
        <v>0.4674256086564472</v>
      </c>
      <c r="D28" s="26">
        <f>'2.2. Інд.якості НПП'!J33</f>
        <v>0.5900383141762452</v>
      </c>
      <c r="E28" s="41">
        <f>'2.3.Якість осв пр'!H27</f>
        <v>0.73</v>
      </c>
      <c r="F28" s="26">
        <f>'2.4. І як.наукової роботи'!K23</f>
        <v>0.3975929153516416</v>
      </c>
      <c r="G28" s="26">
        <f>'2.5. І. між.ак.'!E27</f>
        <v>0.006024096385542169</v>
      </c>
      <c r="H28" s="26">
        <f>'2.6.-2.6.1. І фін.активність'!E21</f>
        <v>0.0203210895084565</v>
      </c>
      <c r="I28" s="26">
        <v>0</v>
      </c>
      <c r="J28" s="26">
        <f>'2.7. І вебометричних показн.'!K31</f>
        <v>0.016868535212023354</v>
      </c>
      <c r="K28" s="64">
        <f t="shared" si="0"/>
        <v>0.3814854815692434</v>
      </c>
      <c r="L28" s="61"/>
    </row>
    <row r="29" spans="1:12" ht="15.75">
      <c r="A29" s="52">
        <v>27</v>
      </c>
      <c r="B29" s="1" t="s">
        <v>7</v>
      </c>
      <c r="C29" s="15">
        <f>'2.1.Вид дія'!E27</f>
        <v>0.20660504959422904</v>
      </c>
      <c r="D29" s="26">
        <f>'2.2. Інд.якості НПП'!J3</f>
        <v>1.6773399014778325</v>
      </c>
      <c r="E29" s="41">
        <v>0</v>
      </c>
      <c r="F29" s="26">
        <f>'2.4. І як.наукової роботи'!K30</f>
        <v>0.3004475010598709</v>
      </c>
      <c r="G29" s="26">
        <f>'2.5. І. між.ак.'!E30</f>
        <v>0</v>
      </c>
      <c r="H29" s="26">
        <f>'2.6.-2.6.1. І фін.активність'!E22</f>
        <v>0.02016663502625733</v>
      </c>
      <c r="I29" s="26">
        <v>0</v>
      </c>
      <c r="J29" s="26">
        <f>'2.7. І вебометричних показн.'!K32</f>
        <v>0.015304701278891568</v>
      </c>
      <c r="K29" s="64">
        <f t="shared" si="0"/>
        <v>0.27192639884517356</v>
      </c>
      <c r="L29" s="61"/>
    </row>
    <row r="30" spans="1:12" ht="15.75">
      <c r="A30" s="52">
        <v>28</v>
      </c>
      <c r="B30" s="1" t="s">
        <v>33</v>
      </c>
      <c r="C30" s="15">
        <f>'2.1.Вид дія'!E25</f>
        <v>0.26745237927724813</v>
      </c>
      <c r="D30" s="26">
        <f>'2.2. Інд.якості НПП'!J17</f>
        <v>1.1600985221674875</v>
      </c>
      <c r="E30" s="41">
        <v>0</v>
      </c>
      <c r="F30" s="26">
        <f>'2.4. І як.наукової роботи'!K26</f>
        <v>0.3482845792704948</v>
      </c>
      <c r="G30" s="26">
        <f>'2.5. І. між.ак.'!E34</f>
        <v>0</v>
      </c>
      <c r="H30" s="26">
        <f>'2.6.-2.6.1. І фін.активність'!E30</f>
        <v>0.011933442856284561</v>
      </c>
      <c r="I30" s="26">
        <v>0</v>
      </c>
      <c r="J30" s="26">
        <f>'2.7. І вебометричних показн.'!K10</f>
        <v>0.09052216778472509</v>
      </c>
      <c r="K30" s="64">
        <f t="shared" si="0"/>
        <v>0.24487669660116204</v>
      </c>
      <c r="L30" s="61"/>
    </row>
    <row r="31" spans="1:12" ht="17.25" customHeight="1">
      <c r="A31" s="52">
        <v>29</v>
      </c>
      <c r="B31" s="1" t="s">
        <v>18</v>
      </c>
      <c r="C31" s="15">
        <f>'2.1.Вид дія'!E34</f>
        <v>0.03392696122633003</v>
      </c>
      <c r="D31" s="26">
        <f>'2.2. Інд.якості НПП'!J16</f>
        <v>1.1773399014778325</v>
      </c>
      <c r="E31" s="41">
        <v>0</v>
      </c>
      <c r="F31" s="26">
        <f>'2.4. І як.наукової роботи'!K18</f>
        <v>0.5225289305509759</v>
      </c>
      <c r="G31" s="26">
        <f>'2.5. І. між.ак.'!E26</f>
        <v>0.012048192771084338</v>
      </c>
      <c r="H31" s="26">
        <f>'2.6.-2.6.1. І фін.активність'!E19</f>
        <v>0.021585720478176883</v>
      </c>
      <c r="I31" s="26">
        <v>0</v>
      </c>
      <c r="J31" s="26">
        <f>'2.7. І вебометричних показн.'!K8</f>
        <v>0.10862359577796146</v>
      </c>
      <c r="K31" s="64">
        <f t="shared" si="0"/>
        <v>0.23781973961706865</v>
      </c>
      <c r="L31" s="61"/>
    </row>
    <row r="32" spans="1:12" ht="17.25" customHeight="1">
      <c r="A32" s="52">
        <v>30</v>
      </c>
      <c r="B32" s="1" t="s">
        <v>25</v>
      </c>
      <c r="C32" s="15">
        <f>'2.1.Вид дія'!E32</f>
        <v>0.07427862939585213</v>
      </c>
      <c r="D32" s="26">
        <f>'2.2. Інд.якості НПП'!J20</f>
        <v>1.0172413793103448</v>
      </c>
      <c r="E32" s="41">
        <v>0</v>
      </c>
      <c r="F32" s="26">
        <f>'2.4. І як.наукової роботи'!K21</f>
        <v>0.42929012200292055</v>
      </c>
      <c r="G32" s="26">
        <f>'2.5. І. між.ак.'!E29</f>
        <v>0.006024096385542169</v>
      </c>
      <c r="H32" s="26">
        <f>'2.6.-2.6.1. І фін.активність'!E26</f>
        <v>0.016116586164580803</v>
      </c>
      <c r="I32" s="26">
        <v>0</v>
      </c>
      <c r="J32" s="26">
        <f>'2.7. І вебометричних показн.'!K23</f>
        <v>0.03861034256058343</v>
      </c>
      <c r="K32" s="64">
        <f t="shared" si="0"/>
        <v>0.20658247359383047</v>
      </c>
      <c r="L32" s="61"/>
    </row>
    <row r="33" spans="1:12" ht="16.5" customHeight="1">
      <c r="A33" s="52">
        <v>31</v>
      </c>
      <c r="B33" s="1" t="s">
        <v>24</v>
      </c>
      <c r="C33" s="15">
        <f>'2.1.Вид дія'!E24</f>
        <v>0.27397963431880634</v>
      </c>
      <c r="D33" s="26">
        <f>'2.2. Інд.якості НПП'!J25</f>
        <v>0.9166666666666666</v>
      </c>
      <c r="E33" s="41">
        <v>0</v>
      </c>
      <c r="F33" s="26">
        <f>'2.4. І як.наукової роботи'!K34</f>
        <v>0.0830467756371002</v>
      </c>
      <c r="G33" s="26">
        <f>'2.5. І. між.ак.'!E32</f>
        <v>0</v>
      </c>
      <c r="H33" s="26">
        <f>'2.6.-2.6.1. І фін.активність'!E10</f>
        <v>0.04617725459536278</v>
      </c>
      <c r="I33" s="26">
        <v>0</v>
      </c>
      <c r="J33" s="26">
        <f>'2.7. І вебометричних показн.'!K11</f>
        <v>0.08024347496598777</v>
      </c>
      <c r="K33" s="64">
        <f t="shared" si="0"/>
        <v>0.17170184786568365</v>
      </c>
      <c r="L33" s="61"/>
    </row>
    <row r="34" spans="1:12" ht="15.75">
      <c r="A34" s="52">
        <v>32</v>
      </c>
      <c r="B34" s="1" t="s">
        <v>19</v>
      </c>
      <c r="C34" s="15">
        <f>'2.1.Вид дія'!E29</f>
        <v>0.1110234445446348</v>
      </c>
      <c r="D34" s="26">
        <f>'2.2. Інд.якості НПП'!J31</f>
        <v>0.7272727272727273</v>
      </c>
      <c r="E34" s="41">
        <v>0</v>
      </c>
      <c r="F34" s="26">
        <f>'2.4. І як.наукової роботи'!K32</f>
        <v>0.25382103097963477</v>
      </c>
      <c r="G34" s="26">
        <f>'2.5. І. між.ак.'!E16</f>
        <v>0.030120481927710843</v>
      </c>
      <c r="H34" s="26">
        <f>'2.6.-2.6.1. І фін.активність'!E3</f>
        <v>0.08075673702122796</v>
      </c>
      <c r="I34" s="26">
        <v>0</v>
      </c>
      <c r="J34" s="26">
        <f>'2.7. І вебометричних показн.'!K16</f>
        <v>0.05928609909977916</v>
      </c>
      <c r="K34" s="64">
        <f t="shared" si="0"/>
        <v>0.15974819468200951</v>
      </c>
      <c r="L34" s="61"/>
    </row>
    <row r="35" spans="1:12" ht="15.75">
      <c r="A35" s="52">
        <v>33</v>
      </c>
      <c r="B35" s="1" t="s">
        <v>35</v>
      </c>
      <c r="C35" s="15">
        <f>'2.1.Вид дія'!E35</f>
        <v>0.016230838593327322</v>
      </c>
      <c r="D35" s="26">
        <f>'2.2. Інд.якості НПП'!J35</f>
        <v>0.2</v>
      </c>
      <c r="E35" s="41">
        <v>0</v>
      </c>
      <c r="F35" s="26">
        <f>'2.4. І як.наукової роботи'!K35</f>
        <v>0</v>
      </c>
      <c r="G35" s="26">
        <f>'2.5. І. між.ак.'!E35</f>
        <v>0</v>
      </c>
      <c r="H35" s="26">
        <f>'2.6.-2.6.1. І фін.активність'!E35</f>
        <v>0</v>
      </c>
      <c r="I35" s="26">
        <v>0</v>
      </c>
      <c r="J35" s="26">
        <f>'2.7. І вебометричних показн.'!K35</f>
        <v>0</v>
      </c>
      <c r="K35" s="64">
        <f t="shared" si="0"/>
        <v>0.02324616771866547</v>
      </c>
      <c r="L35" s="61"/>
    </row>
    <row r="36" spans="2:12" ht="12.75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1:12" ht="130.5" customHeight="1">
      <c r="A37" s="52" t="s">
        <v>110</v>
      </c>
      <c r="B37" s="62" t="s">
        <v>44</v>
      </c>
      <c r="C37" s="125" t="s">
        <v>123</v>
      </c>
      <c r="D37" s="125" t="s">
        <v>124</v>
      </c>
      <c r="E37" s="126" t="s">
        <v>134</v>
      </c>
      <c r="F37" s="126" t="s">
        <v>125</v>
      </c>
      <c r="G37" s="126" t="s">
        <v>126</v>
      </c>
      <c r="H37" s="126" t="s">
        <v>127</v>
      </c>
      <c r="I37" s="126" t="s">
        <v>128</v>
      </c>
      <c r="J37" s="126" t="s">
        <v>129</v>
      </c>
      <c r="K37" s="125" t="s">
        <v>130</v>
      </c>
      <c r="L37" s="42" t="s">
        <v>109</v>
      </c>
    </row>
    <row r="38" spans="1:12" ht="15.75">
      <c r="A38" s="52">
        <v>1</v>
      </c>
      <c r="B38" s="1" t="s">
        <v>37</v>
      </c>
      <c r="C38" s="39">
        <f>'2.1.Вид дія'!E39</f>
        <v>1.72</v>
      </c>
      <c r="D38" s="26">
        <f>'2.2. Інд.якості НПП'!J39</f>
        <v>1.6741304672339155</v>
      </c>
      <c r="E38" s="41">
        <f>'2.3.Якість осв пр'!H30</f>
        <v>2.8400000000000003</v>
      </c>
      <c r="F38" s="26">
        <f>'2.4. І як.наукової роботи'!K39</f>
        <v>1.779460486441503</v>
      </c>
      <c r="G38" s="26">
        <f>'2.5. І. між.ак.'!E39</f>
        <v>0.4819277108433735</v>
      </c>
      <c r="H38" s="26">
        <f>'2.6.-2.6.1. І фін.активність'!E39</f>
        <v>0.32277595031239165</v>
      </c>
      <c r="I38" s="26">
        <f>'2.6.2. І фін наук діяльності'!E13</f>
        <v>0.6506921986628017</v>
      </c>
      <c r="J38" s="26">
        <f>'2.7. І вебометричних показн.'!K40</f>
        <v>0.0447887323943662</v>
      </c>
      <c r="K38" s="26">
        <f>'2.8. І к-м.спорт роб.'!G4</f>
        <v>0.7693693693693694</v>
      </c>
      <c r="L38" s="63">
        <f>(0.2*C38)+(0.1*D38)+(0.2*E38)+(0.2*F38)+(0.1*G38)+(0.1*(H38+I38)+(0.05*J38)+(0.05*K38))</f>
        <v>1.6215526350817355</v>
      </c>
    </row>
    <row r="39" spans="1:12" ht="31.5">
      <c r="A39" s="52">
        <v>2</v>
      </c>
      <c r="B39" s="1" t="s">
        <v>38</v>
      </c>
      <c r="C39" s="39">
        <f>'2.1.Вид дія'!E40</f>
        <v>1.14</v>
      </c>
      <c r="D39" s="26">
        <f>'2.2. Інд.якості НПП'!J42</f>
        <v>1.3152709359605912</v>
      </c>
      <c r="E39" s="41">
        <f>'2.3.Якість осв пр'!H32</f>
        <v>1.73</v>
      </c>
      <c r="F39" s="26">
        <f>'2.4. І як.наукової роботи'!K40</f>
        <v>1.6867115737905696</v>
      </c>
      <c r="G39" s="26">
        <f>'2.5. І. між.ак.'!E40</f>
        <v>0.21084337349397592</v>
      </c>
      <c r="H39" s="26">
        <f>'2.6.-2.6.1. І фін.активність'!E42</f>
        <v>0.1353335300302139</v>
      </c>
      <c r="I39" s="26">
        <f>'2.6.2. І фін наук діяльності'!E14</f>
        <v>0.2785977200948505</v>
      </c>
      <c r="J39" s="26">
        <f>'2.7. І вебометричних показн.'!K42</f>
        <v>0.04084507042253521</v>
      </c>
      <c r="K39" s="26">
        <f>'2.8. І к-м.спорт роб.'!G3</f>
        <v>0.9873873873873873</v>
      </c>
      <c r="L39" s="63">
        <f>(0.2*C39)+(0.1*D39)+(0.2*E39)+(0.2*F39)+(0.1*G39)+(0.1*(H39+I39)+(0.05*J39)+(0.05*K39))</f>
        <v>1.1567584936065733</v>
      </c>
    </row>
    <row r="40" spans="1:12" ht="15.75">
      <c r="A40" s="52">
        <v>3</v>
      </c>
      <c r="B40" s="1" t="s">
        <v>36</v>
      </c>
      <c r="C40" s="39">
        <f>'2.1.Вид дія'!E38</f>
        <v>1.78</v>
      </c>
      <c r="D40" s="26">
        <f>'2.2. Інд.якості НПП'!J40</f>
        <v>1.562280084447572</v>
      </c>
      <c r="E40" s="41">
        <f>'2.3.Якість осв пр'!H33</f>
        <v>1.44</v>
      </c>
      <c r="F40" s="26">
        <f>'2.4. І як.наукової роботи'!K42</f>
        <v>1.281958641480993</v>
      </c>
      <c r="G40" s="26">
        <f>'2.5. І. між.ак.'!E42</f>
        <v>0.13253012048192772</v>
      </c>
      <c r="H40" s="26">
        <f>'2.6.-2.6.1. І фін.активність'!E40</f>
        <v>0.3223736025492481</v>
      </c>
      <c r="I40" s="26">
        <f>'2.6.2. І фін наук діяльності'!E16</f>
        <v>0</v>
      </c>
      <c r="J40" s="26">
        <f>'2.7. І вебометричних показн.'!K41</f>
        <v>0.04410032865931363</v>
      </c>
      <c r="K40" s="26">
        <f>'2.8. І к-м.спорт роб.'!G6</f>
        <v>0.09009009009009009</v>
      </c>
      <c r="L40" s="63">
        <f>(0.2*C40)+(0.1*D40)+(0.2*E40)+(0.2*F40)+(0.1*G40)+(0.1*(H40+I40)+(0.05*J40)+(0.05*K40))</f>
        <v>1.1088196299815436</v>
      </c>
    </row>
    <row r="41" spans="1:12" ht="31.5">
      <c r="A41" s="52">
        <v>4</v>
      </c>
      <c r="B41" s="1" t="s">
        <v>39</v>
      </c>
      <c r="C41" s="39">
        <f>'2.1.Вид дія'!E41</f>
        <v>0.88</v>
      </c>
      <c r="D41" s="26">
        <f>'2.2. Інд.якості НПП'!J41</f>
        <v>1.4741379310344827</v>
      </c>
      <c r="E41" s="41">
        <f>'2.3.Якість осв пр'!H31</f>
        <v>1.96</v>
      </c>
      <c r="F41" s="26">
        <f>'2.4. І як.наукової роботи'!K41</f>
        <v>1.631185328245953</v>
      </c>
      <c r="G41" s="26">
        <f>'2.5. І. між.ак.'!E41</f>
        <v>0.1746987951807229</v>
      </c>
      <c r="H41" s="26">
        <f>'2.6.-2.6.1. І фін.активність'!E41</f>
        <v>0.21951691710814647</v>
      </c>
      <c r="I41" s="26">
        <f>'2.6.2. І фін наук діяльності'!E15</f>
        <v>0.07071008124234784</v>
      </c>
      <c r="J41" s="26">
        <f>'2.7. І вебометричних показн.'!K39</f>
        <v>0.07063999279954042</v>
      </c>
      <c r="K41" s="26">
        <f>'2.8. І к-м.спорт роб.'!G5</f>
        <v>0.15315315315315314</v>
      </c>
      <c r="L41" s="63">
        <f>(0.2*C41)+(0.1*D41)+(0.2*E41)+(0.2*F41)+(0.1*G41)+(0.1*(H41+I41)+(0.05*J41)+(0.05*K41))</f>
        <v>1.0993330954033953</v>
      </c>
    </row>
  </sheetData>
  <sheetProtection/>
  <printOptions/>
  <pageMargins left="0.75" right="0.2" top="0.36" bottom="0.35" header="0.31" footer="0.2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9"/>
  <sheetViews>
    <sheetView zoomScale="90" zoomScaleNormal="90" zoomScalePageLayoutView="0" workbookViewId="0" topLeftCell="A16">
      <selection activeCell="G34" sqref="G34"/>
    </sheetView>
  </sheetViews>
  <sheetFormatPr defaultColWidth="9.00390625" defaultRowHeight="12.75"/>
  <cols>
    <col min="1" max="1" width="7.00390625" style="0" customWidth="1"/>
    <col min="2" max="2" width="54.375" style="0" customWidth="1"/>
    <col min="3" max="3" width="27.00390625" style="0" customWidth="1"/>
    <col min="4" max="4" width="20.375" style="0" customWidth="1"/>
    <col min="5" max="5" width="21.375" style="0" customWidth="1"/>
    <col min="6" max="7" width="22.25390625" style="0" customWidth="1"/>
  </cols>
  <sheetData>
    <row r="2" spans="2:5" ht="41.25" customHeight="1">
      <c r="B2" s="72" t="s">
        <v>101</v>
      </c>
      <c r="C2" s="9"/>
      <c r="D2" s="9"/>
      <c r="E2" s="9"/>
    </row>
    <row r="3" spans="1:7" ht="128.25" customHeight="1">
      <c r="A3" s="52" t="s">
        <v>110</v>
      </c>
      <c r="B3" s="66" t="s">
        <v>0</v>
      </c>
      <c r="C3" s="66" t="s">
        <v>103</v>
      </c>
      <c r="D3" s="66" t="s">
        <v>104</v>
      </c>
      <c r="E3" s="66" t="s">
        <v>105</v>
      </c>
      <c r="F3" s="66" t="s">
        <v>106</v>
      </c>
      <c r="G3" s="66" t="s">
        <v>107</v>
      </c>
    </row>
    <row r="4" spans="1:7" s="12" customFormat="1" ht="14.25" customHeight="1">
      <c r="A4" s="55">
        <v>1</v>
      </c>
      <c r="B4" s="11" t="s">
        <v>12</v>
      </c>
      <c r="C4" s="90">
        <v>7</v>
      </c>
      <c r="D4" s="90">
        <v>19</v>
      </c>
      <c r="E4" s="90">
        <f>13+7</f>
        <v>20</v>
      </c>
      <c r="F4" s="89">
        <f>39+61</f>
        <v>100</v>
      </c>
      <c r="G4" s="41">
        <f aca="true" t="shared" si="0" ref="G4:G28">C4/D4+0.5*(E4/F4)</f>
        <v>0.46842105263157896</v>
      </c>
    </row>
    <row r="5" spans="1:7" s="12" customFormat="1" ht="31.5" customHeight="1">
      <c r="A5" s="55">
        <v>2</v>
      </c>
      <c r="B5" s="11" t="s">
        <v>22</v>
      </c>
      <c r="C5" s="103">
        <v>3</v>
      </c>
      <c r="D5" s="90">
        <v>19</v>
      </c>
      <c r="E5" s="90">
        <f>6+2</f>
        <v>8</v>
      </c>
      <c r="F5" s="89">
        <f>17+33</f>
        <v>50</v>
      </c>
      <c r="G5" s="41">
        <f t="shared" si="0"/>
        <v>0.23789473684210527</v>
      </c>
    </row>
    <row r="6" spans="1:7" s="12" customFormat="1" ht="31.5">
      <c r="A6" s="55">
        <v>3</v>
      </c>
      <c r="B6" s="11" t="s">
        <v>28</v>
      </c>
      <c r="C6" s="90">
        <v>3</v>
      </c>
      <c r="D6" s="90">
        <v>19</v>
      </c>
      <c r="E6" s="90">
        <f>1+1</f>
        <v>2</v>
      </c>
      <c r="F6" s="89">
        <f>11+24</f>
        <v>35</v>
      </c>
      <c r="G6" s="41">
        <f t="shared" si="0"/>
        <v>0.18646616541353384</v>
      </c>
    </row>
    <row r="7" spans="1:7" s="12" customFormat="1" ht="15" customHeight="1">
      <c r="A7" s="55">
        <v>4</v>
      </c>
      <c r="B7" s="11" t="s">
        <v>15</v>
      </c>
      <c r="C7" s="90">
        <v>2</v>
      </c>
      <c r="D7" s="90">
        <v>19</v>
      </c>
      <c r="E7" s="90">
        <f>7+2+14+5</f>
        <v>28</v>
      </c>
      <c r="F7" s="89">
        <f>50+47+47+50</f>
        <v>194</v>
      </c>
      <c r="G7" s="41">
        <f t="shared" si="0"/>
        <v>0.17742810634834508</v>
      </c>
    </row>
    <row r="8" spans="1:7" s="12" customFormat="1" ht="13.5" customHeight="1">
      <c r="A8" s="55">
        <v>5</v>
      </c>
      <c r="B8" s="11" t="s">
        <v>10</v>
      </c>
      <c r="C8" s="90">
        <v>0</v>
      </c>
      <c r="D8" s="90">
        <v>19</v>
      </c>
      <c r="E8" s="90">
        <f>12+12</f>
        <v>24</v>
      </c>
      <c r="F8" s="89">
        <f>31+41</f>
        <v>72</v>
      </c>
      <c r="G8" s="41">
        <f t="shared" si="0"/>
        <v>0.16666666666666666</v>
      </c>
    </row>
    <row r="9" spans="1:7" s="12" customFormat="1" ht="31.5" customHeight="1">
      <c r="A9" s="55">
        <v>6</v>
      </c>
      <c r="B9" s="11" t="s">
        <v>8</v>
      </c>
      <c r="C9" s="90">
        <v>2</v>
      </c>
      <c r="D9" s="90">
        <v>19</v>
      </c>
      <c r="E9" s="90">
        <f>6+1</f>
        <v>7</v>
      </c>
      <c r="F9" s="89">
        <f>28+31</f>
        <v>59</v>
      </c>
      <c r="G9" s="41">
        <f t="shared" si="0"/>
        <v>0.16458519179304193</v>
      </c>
    </row>
    <row r="10" spans="1:7" s="12" customFormat="1" ht="15" customHeight="1">
      <c r="A10" s="55">
        <v>7</v>
      </c>
      <c r="B10" s="11" t="s">
        <v>13</v>
      </c>
      <c r="C10" s="90">
        <v>0</v>
      </c>
      <c r="D10" s="90">
        <v>19</v>
      </c>
      <c r="E10" s="90">
        <f>12+15</f>
        <v>27</v>
      </c>
      <c r="F10" s="89">
        <f>32+64</f>
        <v>96</v>
      </c>
      <c r="G10" s="41">
        <f t="shared" si="0"/>
        <v>0.140625</v>
      </c>
    </row>
    <row r="11" spans="1:7" s="12" customFormat="1" ht="15.75">
      <c r="A11" s="55">
        <v>8</v>
      </c>
      <c r="B11" s="11" t="s">
        <v>21</v>
      </c>
      <c r="C11" s="103">
        <v>1</v>
      </c>
      <c r="D11" s="90">
        <v>19</v>
      </c>
      <c r="E11" s="90">
        <f>12+3</f>
        <v>15</v>
      </c>
      <c r="F11" s="89">
        <f>48+61</f>
        <v>109</v>
      </c>
      <c r="G11" s="41">
        <f t="shared" si="0"/>
        <v>0.1214389183969097</v>
      </c>
    </row>
    <row r="12" spans="1:7" s="12" customFormat="1" ht="13.5" customHeight="1">
      <c r="A12" s="55">
        <v>9</v>
      </c>
      <c r="B12" s="11" t="s">
        <v>9</v>
      </c>
      <c r="C12" s="90">
        <v>0</v>
      </c>
      <c r="D12" s="90">
        <v>19</v>
      </c>
      <c r="E12" s="90">
        <f>15+4</f>
        <v>19</v>
      </c>
      <c r="F12" s="89">
        <f>49+36</f>
        <v>85</v>
      </c>
      <c r="G12" s="41">
        <f t="shared" si="0"/>
        <v>0.11176470588235295</v>
      </c>
    </row>
    <row r="13" spans="1:7" s="12" customFormat="1" ht="15.75">
      <c r="A13" s="55">
        <v>10</v>
      </c>
      <c r="B13" s="11" t="s">
        <v>6</v>
      </c>
      <c r="C13" s="90">
        <v>0</v>
      </c>
      <c r="D13" s="90">
        <v>19</v>
      </c>
      <c r="E13" s="90">
        <f>8+4</f>
        <v>12</v>
      </c>
      <c r="F13" s="89">
        <f>15+39</f>
        <v>54</v>
      </c>
      <c r="G13" s="41">
        <f t="shared" si="0"/>
        <v>0.1111111111111111</v>
      </c>
    </row>
    <row r="14" spans="1:7" s="12" customFormat="1" ht="15.75">
      <c r="A14" s="55">
        <v>11</v>
      </c>
      <c r="B14" s="11" t="s">
        <v>131</v>
      </c>
      <c r="C14" s="90">
        <v>0</v>
      </c>
      <c r="D14" s="90">
        <v>19</v>
      </c>
      <c r="E14" s="90">
        <f>4+3</f>
        <v>7</v>
      </c>
      <c r="F14" s="89">
        <f>9+25</f>
        <v>34</v>
      </c>
      <c r="G14" s="41">
        <f t="shared" si="0"/>
        <v>0.10294117647058823</v>
      </c>
    </row>
    <row r="15" spans="1:7" s="12" customFormat="1" ht="16.5" customHeight="1">
      <c r="A15" s="55">
        <v>12</v>
      </c>
      <c r="B15" s="11" t="s">
        <v>32</v>
      </c>
      <c r="C15" s="90">
        <v>1</v>
      </c>
      <c r="D15" s="90">
        <v>19</v>
      </c>
      <c r="E15" s="103">
        <f>3+0</f>
        <v>3</v>
      </c>
      <c r="F15" s="89">
        <f>14+26</f>
        <v>40</v>
      </c>
      <c r="G15" s="41">
        <f t="shared" si="0"/>
        <v>0.09013157894736842</v>
      </c>
    </row>
    <row r="16" spans="1:7" s="12" customFormat="1" ht="16.5" customHeight="1">
      <c r="A16" s="55">
        <v>13</v>
      </c>
      <c r="B16" s="11" t="s">
        <v>23</v>
      </c>
      <c r="C16" s="103">
        <v>0</v>
      </c>
      <c r="D16" s="90">
        <v>19</v>
      </c>
      <c r="E16" s="90">
        <f>8+1</f>
        <v>9</v>
      </c>
      <c r="F16" s="89">
        <f>29+21</f>
        <v>50</v>
      </c>
      <c r="G16" s="41">
        <f t="shared" si="0"/>
        <v>0.09</v>
      </c>
    </row>
    <row r="17" spans="1:7" s="12" customFormat="1" ht="18" customHeight="1">
      <c r="A17" s="55">
        <v>14</v>
      </c>
      <c r="B17" s="11" t="s">
        <v>11</v>
      </c>
      <c r="C17" s="90">
        <v>0</v>
      </c>
      <c r="D17" s="90">
        <v>19</v>
      </c>
      <c r="E17" s="90">
        <f>7+6</f>
        <v>13</v>
      </c>
      <c r="F17" s="89">
        <f>25+49</f>
        <v>74</v>
      </c>
      <c r="G17" s="41">
        <f t="shared" si="0"/>
        <v>0.08783783783783784</v>
      </c>
    </row>
    <row r="18" spans="1:7" s="12" customFormat="1" ht="16.5" customHeight="1">
      <c r="A18" s="55">
        <v>15</v>
      </c>
      <c r="B18" s="11" t="s">
        <v>14</v>
      </c>
      <c r="C18" s="103">
        <v>0</v>
      </c>
      <c r="D18" s="90">
        <v>19</v>
      </c>
      <c r="E18" s="103">
        <f>15+7</f>
        <v>22</v>
      </c>
      <c r="F18" s="89">
        <f>72+56</f>
        <v>128</v>
      </c>
      <c r="G18" s="41">
        <f t="shared" si="0"/>
        <v>0.0859375</v>
      </c>
    </row>
    <row r="19" spans="1:7" s="12" customFormat="1" ht="17.25" customHeight="1">
      <c r="A19" s="55">
        <v>16</v>
      </c>
      <c r="B19" s="11" t="s">
        <v>27</v>
      </c>
      <c r="C19" s="103">
        <v>0</v>
      </c>
      <c r="D19" s="90">
        <v>19</v>
      </c>
      <c r="E19" s="90">
        <f>17+7</f>
        <v>24</v>
      </c>
      <c r="F19" s="89">
        <f>65+90</f>
        <v>155</v>
      </c>
      <c r="G19" s="41">
        <f t="shared" si="0"/>
        <v>0.07741935483870968</v>
      </c>
    </row>
    <row r="20" spans="1:7" s="12" customFormat="1" ht="18" customHeight="1">
      <c r="A20" s="55">
        <v>17</v>
      </c>
      <c r="B20" s="11" t="s">
        <v>31</v>
      </c>
      <c r="C20" s="90">
        <v>0</v>
      </c>
      <c r="D20" s="90">
        <v>19</v>
      </c>
      <c r="E20" s="90">
        <f>2+4</f>
        <v>6</v>
      </c>
      <c r="F20" s="89">
        <f>24+16</f>
        <v>40</v>
      </c>
      <c r="G20" s="41">
        <f t="shared" si="0"/>
        <v>0.075</v>
      </c>
    </row>
    <row r="21" spans="1:7" s="12" customFormat="1" ht="18.75" customHeight="1">
      <c r="A21" s="55">
        <v>18</v>
      </c>
      <c r="B21" s="11" t="s">
        <v>16</v>
      </c>
      <c r="C21" s="103">
        <v>0</v>
      </c>
      <c r="D21" s="90">
        <v>19</v>
      </c>
      <c r="E21" s="103">
        <f>6+4</f>
        <v>10</v>
      </c>
      <c r="F21" s="89">
        <f>28+39</f>
        <v>67</v>
      </c>
      <c r="G21" s="41">
        <f t="shared" si="0"/>
        <v>0.07462686567164178</v>
      </c>
    </row>
    <row r="22" spans="1:7" s="12" customFormat="1" ht="15.75">
      <c r="A22" s="55">
        <v>19</v>
      </c>
      <c r="B22" s="11" t="s">
        <v>20</v>
      </c>
      <c r="C22" s="103">
        <v>0</v>
      </c>
      <c r="D22" s="90">
        <v>19</v>
      </c>
      <c r="E22" s="90">
        <f>5+5</f>
        <v>10</v>
      </c>
      <c r="F22" s="89">
        <f>26+41</f>
        <v>67</v>
      </c>
      <c r="G22" s="41">
        <f t="shared" si="0"/>
        <v>0.07462686567164178</v>
      </c>
    </row>
    <row r="23" spans="1:7" s="12" customFormat="1" ht="15.75">
      <c r="A23" s="55">
        <v>20</v>
      </c>
      <c r="B23" s="11" t="s">
        <v>30</v>
      </c>
      <c r="C23" s="90">
        <v>0</v>
      </c>
      <c r="D23" s="90">
        <v>19</v>
      </c>
      <c r="E23" s="90">
        <f>3+2</f>
        <v>5</v>
      </c>
      <c r="F23" s="89">
        <f>14+20</f>
        <v>34</v>
      </c>
      <c r="G23" s="41">
        <f t="shared" si="0"/>
        <v>0.07352941176470588</v>
      </c>
    </row>
    <row r="24" spans="1:7" s="12" customFormat="1" ht="30.75" customHeight="1">
      <c r="A24" s="55">
        <v>21</v>
      </c>
      <c r="B24" s="11" t="s">
        <v>5</v>
      </c>
      <c r="C24" s="90">
        <v>0</v>
      </c>
      <c r="D24" s="90">
        <v>19</v>
      </c>
      <c r="E24" s="90">
        <f>8+2</f>
        <v>10</v>
      </c>
      <c r="F24" s="89">
        <f>35+33</f>
        <v>68</v>
      </c>
      <c r="G24" s="41">
        <f t="shared" si="0"/>
        <v>0.07352941176470588</v>
      </c>
    </row>
    <row r="25" spans="1:7" s="12" customFormat="1" ht="18" customHeight="1">
      <c r="A25" s="55">
        <v>22</v>
      </c>
      <c r="B25" s="11" t="s">
        <v>34</v>
      </c>
      <c r="C25" s="90">
        <v>0</v>
      </c>
      <c r="D25" s="90">
        <v>19</v>
      </c>
      <c r="E25" s="90">
        <f>4+4</f>
        <v>8</v>
      </c>
      <c r="F25" s="89">
        <f>23+45</f>
        <v>68</v>
      </c>
      <c r="G25" s="41">
        <f t="shared" si="0"/>
        <v>0.058823529411764705</v>
      </c>
    </row>
    <row r="26" spans="1:7" s="12" customFormat="1" ht="15" customHeight="1">
      <c r="A26" s="55">
        <v>23</v>
      </c>
      <c r="B26" s="11" t="s">
        <v>29</v>
      </c>
      <c r="C26" s="90">
        <v>0</v>
      </c>
      <c r="D26" s="90">
        <v>19</v>
      </c>
      <c r="E26" s="90">
        <f>8+5</f>
        <v>13</v>
      </c>
      <c r="F26" s="89">
        <f>76+78</f>
        <v>154</v>
      </c>
      <c r="G26" s="41">
        <f t="shared" si="0"/>
        <v>0.04220779220779221</v>
      </c>
    </row>
    <row r="27" spans="1:7" s="12" customFormat="1" ht="31.5">
      <c r="A27" s="55">
        <v>24</v>
      </c>
      <c r="B27" s="11" t="s">
        <v>4</v>
      </c>
      <c r="C27" s="90">
        <v>0</v>
      </c>
      <c r="D27" s="90">
        <v>19</v>
      </c>
      <c r="E27" s="90">
        <f>2+2</f>
        <v>4</v>
      </c>
      <c r="F27" s="89">
        <f>12+38</f>
        <v>50</v>
      </c>
      <c r="G27" s="41">
        <f t="shared" si="0"/>
        <v>0.04</v>
      </c>
    </row>
    <row r="28" spans="1:7" s="12" customFormat="1" ht="15" customHeight="1">
      <c r="A28" s="55">
        <v>25</v>
      </c>
      <c r="B28" s="11" t="s">
        <v>26</v>
      </c>
      <c r="C28" s="103">
        <v>0</v>
      </c>
      <c r="D28" s="90">
        <v>19</v>
      </c>
      <c r="E28" s="90">
        <f>3+0</f>
        <v>3</v>
      </c>
      <c r="F28" s="89">
        <f>25+15</f>
        <v>40</v>
      </c>
      <c r="G28" s="41">
        <f t="shared" si="0"/>
        <v>0.0375</v>
      </c>
    </row>
    <row r="29" spans="1:7" s="12" customFormat="1" ht="15.75">
      <c r="A29" s="99"/>
      <c r="B29" s="100" t="s">
        <v>56</v>
      </c>
      <c r="C29" s="104">
        <f>SUM(C4:C28)</f>
        <v>19</v>
      </c>
      <c r="D29" s="104"/>
      <c r="E29" s="104">
        <f>SUM(E4:E28)</f>
        <v>309</v>
      </c>
      <c r="F29" s="101">
        <f>SUM(F4:F28)</f>
        <v>1923</v>
      </c>
      <c r="G29" s="102"/>
    </row>
    <row r="30" spans="1:7" ht="46.5" customHeight="1">
      <c r="A30" s="45"/>
      <c r="B30" s="84" t="s">
        <v>102</v>
      </c>
      <c r="C30" s="51"/>
      <c r="D30" s="51"/>
      <c r="E30" s="51"/>
      <c r="F30" s="45"/>
      <c r="G30" s="45"/>
    </row>
    <row r="31" spans="1:7" ht="121.5" customHeight="1">
      <c r="A31" s="52" t="s">
        <v>110</v>
      </c>
      <c r="B31" s="66" t="s">
        <v>44</v>
      </c>
      <c r="C31" s="66" t="s">
        <v>103</v>
      </c>
      <c r="D31" s="66" t="s">
        <v>104</v>
      </c>
      <c r="E31" s="66" t="s">
        <v>105</v>
      </c>
      <c r="F31" s="66" t="s">
        <v>106</v>
      </c>
      <c r="G31" s="66" t="s">
        <v>107</v>
      </c>
    </row>
    <row r="32" spans="1:7" ht="37.5" customHeight="1">
      <c r="A32" s="52">
        <v>1</v>
      </c>
      <c r="B32" s="3" t="s">
        <v>37</v>
      </c>
      <c r="C32" s="28">
        <v>11</v>
      </c>
      <c r="D32" s="28">
        <v>19</v>
      </c>
      <c r="E32" s="28">
        <v>107</v>
      </c>
      <c r="F32" s="32">
        <v>669</v>
      </c>
      <c r="G32" s="26">
        <f>C32/D32+0.5*(E32/F32)</f>
        <v>0.6589174730548344</v>
      </c>
    </row>
    <row r="33" spans="1:7" ht="36.75" customHeight="1">
      <c r="A33" s="52">
        <v>2</v>
      </c>
      <c r="B33" s="3" t="s">
        <v>39</v>
      </c>
      <c r="C33" s="28">
        <v>8</v>
      </c>
      <c r="D33" s="28">
        <v>19</v>
      </c>
      <c r="E33" s="28">
        <v>65</v>
      </c>
      <c r="F33" s="32">
        <v>404</v>
      </c>
      <c r="G33" s="26">
        <f>C33/D33+0.5*(E33/F33)</f>
        <v>0.5014981761334028</v>
      </c>
    </row>
    <row r="34" spans="1:7" ht="16.5" customHeight="1">
      <c r="A34" s="52">
        <v>3</v>
      </c>
      <c r="B34" s="3" t="s">
        <v>36</v>
      </c>
      <c r="C34" s="28">
        <v>0</v>
      </c>
      <c r="D34" s="28">
        <v>19</v>
      </c>
      <c r="E34" s="28">
        <v>84</v>
      </c>
      <c r="F34" s="32">
        <v>403</v>
      </c>
      <c r="G34" s="26">
        <f>C34/D34+0.5*(E34/F34)</f>
        <v>0.10421836228287841</v>
      </c>
    </row>
    <row r="35" spans="1:7" ht="33.75" customHeight="1">
      <c r="A35" s="52">
        <v>4</v>
      </c>
      <c r="B35" s="3" t="s">
        <v>38</v>
      </c>
      <c r="C35" s="28">
        <v>0</v>
      </c>
      <c r="D35" s="28">
        <v>19</v>
      </c>
      <c r="E35" s="28">
        <v>53</v>
      </c>
      <c r="F35" s="32">
        <v>447</v>
      </c>
      <c r="G35" s="26">
        <f>C35/D35+0.5*(E35/F35)</f>
        <v>0.0592841163310962</v>
      </c>
    </row>
    <row r="36" spans="2:7" ht="15.75">
      <c r="B36" s="56" t="s">
        <v>56</v>
      </c>
      <c r="C36" s="37">
        <f>SUM(C32:C35)</f>
        <v>19</v>
      </c>
      <c r="D36" s="105"/>
      <c r="E36" s="37">
        <f>SUM(E32:E35)</f>
        <v>309</v>
      </c>
      <c r="F36" s="37">
        <f>SUM(F32:F35)</f>
        <v>1923</v>
      </c>
      <c r="G36" s="17"/>
    </row>
    <row r="38" ht="15.75">
      <c r="C38" s="7"/>
    </row>
    <row r="39" ht="15.75">
      <c r="C39" s="7"/>
    </row>
  </sheetData>
  <sheetProtection/>
  <printOptions/>
  <pageMargins left="0.38" right="0.42" top="0.46" bottom="0.4" header="0.43" footer="0.3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zoomScale="60" zoomScaleNormal="60" zoomScalePageLayoutView="0" workbookViewId="0" topLeftCell="A22">
      <selection activeCell="B15" sqref="B15"/>
    </sheetView>
  </sheetViews>
  <sheetFormatPr defaultColWidth="9.00390625" defaultRowHeight="12.75"/>
  <cols>
    <col min="1" max="1" width="4.625" style="0" customWidth="1"/>
    <col min="2" max="2" width="39.625" style="0" customWidth="1"/>
    <col min="3" max="3" width="16.75390625" style="0" customWidth="1"/>
    <col min="4" max="4" width="17.375" style="0" customWidth="1"/>
    <col min="5" max="5" width="15.25390625" style="0" customWidth="1"/>
    <col min="6" max="6" width="16.875" style="0" customWidth="1"/>
    <col min="7" max="7" width="15.875" style="0" customWidth="1"/>
    <col min="8" max="8" width="16.00390625" style="0" customWidth="1"/>
    <col min="9" max="9" width="26.75390625" style="0" customWidth="1"/>
    <col min="10" max="10" width="15.125" style="0" customWidth="1"/>
    <col min="11" max="11" width="18.00390625" style="0" customWidth="1"/>
  </cols>
  <sheetData>
    <row r="1" spans="2:11" ht="39" customHeight="1">
      <c r="B1" s="146" t="s">
        <v>136</v>
      </c>
      <c r="C1" s="146"/>
      <c r="D1" s="6"/>
      <c r="F1" s="9"/>
      <c r="G1" s="9"/>
      <c r="H1" s="9"/>
      <c r="I1" s="9"/>
      <c r="J1" s="9"/>
      <c r="K1" s="9"/>
    </row>
    <row r="2" spans="1:11" ht="102" customHeight="1">
      <c r="A2" s="52" t="s">
        <v>110</v>
      </c>
      <c r="B2" s="66" t="s">
        <v>0</v>
      </c>
      <c r="C2" s="66" t="s">
        <v>112</v>
      </c>
      <c r="D2" s="66" t="s">
        <v>111</v>
      </c>
      <c r="E2" s="66" t="s">
        <v>63</v>
      </c>
      <c r="F2" s="66" t="s">
        <v>64</v>
      </c>
      <c r="G2" s="66" t="s">
        <v>65</v>
      </c>
      <c r="H2" s="66" t="s">
        <v>66</v>
      </c>
      <c r="I2" s="66" t="s">
        <v>67</v>
      </c>
      <c r="J2" s="66" t="s">
        <v>68</v>
      </c>
      <c r="K2" s="66" t="s">
        <v>69</v>
      </c>
    </row>
    <row r="3" spans="1:11" ht="31.5">
      <c r="A3" s="52">
        <v>1</v>
      </c>
      <c r="B3" s="3" t="s">
        <v>5</v>
      </c>
      <c r="C3" s="88">
        <v>12</v>
      </c>
      <c r="D3" s="28">
        <v>15</v>
      </c>
      <c r="E3" s="13">
        <v>13</v>
      </c>
      <c r="F3" s="13">
        <v>26</v>
      </c>
      <c r="G3" s="28">
        <v>1001</v>
      </c>
      <c r="H3" s="32">
        <v>4899</v>
      </c>
      <c r="I3" s="89">
        <v>0</v>
      </c>
      <c r="J3" s="32">
        <f aca="true" t="shared" si="0" ref="J3:J35">$I$36</f>
        <v>6</v>
      </c>
      <c r="K3" s="26">
        <f aca="true" t="shared" si="1" ref="K3:K35">C3/D3+E3/F3+G3/H3+I3/J3</f>
        <v>1.50432741375791</v>
      </c>
    </row>
    <row r="4" spans="1:11" s="12" customFormat="1" ht="31.5">
      <c r="A4" s="55">
        <v>2</v>
      </c>
      <c r="B4" s="11" t="s">
        <v>4</v>
      </c>
      <c r="C4" s="88">
        <v>1</v>
      </c>
      <c r="D4" s="90">
        <v>15</v>
      </c>
      <c r="E4" s="90">
        <v>15</v>
      </c>
      <c r="F4" s="107">
        <v>26</v>
      </c>
      <c r="G4" s="90">
        <v>1265</v>
      </c>
      <c r="H4" s="32">
        <v>4899</v>
      </c>
      <c r="I4" s="89">
        <v>1</v>
      </c>
      <c r="J4" s="32">
        <f t="shared" si="0"/>
        <v>6</v>
      </c>
      <c r="K4" s="41">
        <f t="shared" si="1"/>
        <v>1.0684723726977248</v>
      </c>
    </row>
    <row r="5" spans="1:11" s="12" customFormat="1" ht="15.75">
      <c r="A5" s="55">
        <v>3</v>
      </c>
      <c r="B5" s="11" t="s">
        <v>14</v>
      </c>
      <c r="C5" s="88">
        <v>10</v>
      </c>
      <c r="D5" s="90">
        <v>15</v>
      </c>
      <c r="E5" s="103">
        <v>4</v>
      </c>
      <c r="F5" s="107">
        <v>26</v>
      </c>
      <c r="G5" s="103">
        <v>82</v>
      </c>
      <c r="H5" s="32">
        <v>4899</v>
      </c>
      <c r="I5" s="89">
        <v>1</v>
      </c>
      <c r="J5" s="32">
        <f t="shared" si="0"/>
        <v>6</v>
      </c>
      <c r="K5" s="41">
        <f t="shared" si="1"/>
        <v>1.0039175969978174</v>
      </c>
    </row>
    <row r="6" spans="1:11" s="12" customFormat="1" ht="15.75">
      <c r="A6" s="55">
        <v>4</v>
      </c>
      <c r="B6" s="11" t="s">
        <v>27</v>
      </c>
      <c r="C6" s="88">
        <v>4</v>
      </c>
      <c r="D6" s="90">
        <v>15</v>
      </c>
      <c r="E6" s="90">
        <v>9</v>
      </c>
      <c r="F6" s="107">
        <v>26</v>
      </c>
      <c r="G6" s="90">
        <v>592</v>
      </c>
      <c r="H6" s="32">
        <v>4899</v>
      </c>
      <c r="I6" s="89">
        <v>1</v>
      </c>
      <c r="J6" s="32">
        <f t="shared" si="0"/>
        <v>6</v>
      </c>
      <c r="K6" s="41">
        <f t="shared" si="1"/>
        <v>0.9003281674439053</v>
      </c>
    </row>
    <row r="7" spans="1:11" s="12" customFormat="1" ht="31.5">
      <c r="A7" s="55">
        <v>5</v>
      </c>
      <c r="B7" s="11" t="s">
        <v>28</v>
      </c>
      <c r="C7" s="88">
        <v>5</v>
      </c>
      <c r="D7" s="90">
        <v>15</v>
      </c>
      <c r="E7" s="90">
        <v>7</v>
      </c>
      <c r="F7" s="107">
        <v>26</v>
      </c>
      <c r="G7" s="90">
        <v>255</v>
      </c>
      <c r="H7" s="32">
        <v>4899</v>
      </c>
      <c r="I7" s="89">
        <v>1</v>
      </c>
      <c r="J7" s="32">
        <f t="shared" si="0"/>
        <v>6</v>
      </c>
      <c r="K7" s="41">
        <f t="shared" si="1"/>
        <v>0.821282208299967</v>
      </c>
    </row>
    <row r="8" spans="1:11" s="12" customFormat="1" ht="15.75">
      <c r="A8" s="55">
        <v>6</v>
      </c>
      <c r="B8" s="11" t="s">
        <v>20</v>
      </c>
      <c r="C8" s="88">
        <v>2</v>
      </c>
      <c r="D8" s="90">
        <v>15</v>
      </c>
      <c r="E8" s="90">
        <v>10</v>
      </c>
      <c r="F8" s="107">
        <v>26</v>
      </c>
      <c r="G8" s="90">
        <v>392</v>
      </c>
      <c r="H8" s="32">
        <v>4899</v>
      </c>
      <c r="I8" s="89">
        <v>1</v>
      </c>
      <c r="J8" s="32">
        <f t="shared" si="0"/>
        <v>6</v>
      </c>
      <c r="K8" s="41">
        <f t="shared" si="1"/>
        <v>0.764631714478622</v>
      </c>
    </row>
    <row r="9" spans="1:11" s="12" customFormat="1" ht="31.5">
      <c r="A9" s="55">
        <v>7</v>
      </c>
      <c r="B9" s="11" t="s">
        <v>9</v>
      </c>
      <c r="C9" s="88">
        <v>1</v>
      </c>
      <c r="D9" s="90">
        <v>15</v>
      </c>
      <c r="E9" s="90">
        <v>13</v>
      </c>
      <c r="F9" s="107">
        <v>26</v>
      </c>
      <c r="G9" s="90">
        <v>900</v>
      </c>
      <c r="H9" s="32">
        <v>4899</v>
      </c>
      <c r="I9" s="89">
        <v>0</v>
      </c>
      <c r="J9" s="32">
        <f t="shared" si="0"/>
        <v>6</v>
      </c>
      <c r="K9" s="41">
        <f t="shared" si="1"/>
        <v>0.7503776280873647</v>
      </c>
    </row>
    <row r="10" spans="1:11" s="12" customFormat="1" ht="15.75">
      <c r="A10" s="55">
        <v>8</v>
      </c>
      <c r="B10" s="11" t="s">
        <v>17</v>
      </c>
      <c r="C10" s="88">
        <v>7</v>
      </c>
      <c r="D10" s="90">
        <v>15</v>
      </c>
      <c r="E10" s="90">
        <v>6</v>
      </c>
      <c r="F10" s="107">
        <v>26</v>
      </c>
      <c r="G10" s="90">
        <v>182</v>
      </c>
      <c r="H10" s="32">
        <v>4899</v>
      </c>
      <c r="I10" s="89">
        <v>0</v>
      </c>
      <c r="J10" s="32">
        <f t="shared" si="0"/>
        <v>6</v>
      </c>
      <c r="K10" s="41">
        <f t="shared" si="1"/>
        <v>0.7345863363009719</v>
      </c>
    </row>
    <row r="11" spans="1:11" s="12" customFormat="1" ht="15.75">
      <c r="A11" s="55">
        <v>9</v>
      </c>
      <c r="B11" s="11" t="s">
        <v>15</v>
      </c>
      <c r="C11" s="88">
        <v>6</v>
      </c>
      <c r="D11" s="90">
        <v>15</v>
      </c>
      <c r="E11" s="90">
        <v>7</v>
      </c>
      <c r="F11" s="107">
        <v>26</v>
      </c>
      <c r="G11" s="90">
        <v>245</v>
      </c>
      <c r="H11" s="32">
        <v>4899</v>
      </c>
      <c r="I11" s="89">
        <v>0</v>
      </c>
      <c r="J11" s="32">
        <f t="shared" si="0"/>
        <v>6</v>
      </c>
      <c r="K11" s="41">
        <f t="shared" si="1"/>
        <v>0.7192409753952926</v>
      </c>
    </row>
    <row r="12" spans="1:11" s="12" customFormat="1" ht="15.75">
      <c r="A12" s="55">
        <v>10</v>
      </c>
      <c r="B12" s="11" t="s">
        <v>31</v>
      </c>
      <c r="C12" s="88">
        <v>6</v>
      </c>
      <c r="D12" s="90">
        <v>15</v>
      </c>
      <c r="E12" s="90">
        <v>7</v>
      </c>
      <c r="F12" s="107">
        <v>26</v>
      </c>
      <c r="G12" s="90">
        <v>241</v>
      </c>
      <c r="H12" s="32">
        <v>4899</v>
      </c>
      <c r="I12" s="89">
        <v>0</v>
      </c>
      <c r="J12" s="32">
        <f t="shared" si="0"/>
        <v>6</v>
      </c>
      <c r="K12" s="41">
        <f t="shared" si="1"/>
        <v>0.7184244822334229</v>
      </c>
    </row>
    <row r="13" spans="1:11" s="12" customFormat="1" ht="31.5">
      <c r="A13" s="55">
        <v>11</v>
      </c>
      <c r="B13" s="11" t="s">
        <v>16</v>
      </c>
      <c r="C13" s="88">
        <v>4</v>
      </c>
      <c r="D13" s="90">
        <v>15</v>
      </c>
      <c r="E13" s="103">
        <v>10</v>
      </c>
      <c r="F13" s="107">
        <v>26</v>
      </c>
      <c r="G13" s="103">
        <v>310</v>
      </c>
      <c r="H13" s="32">
        <v>4899</v>
      </c>
      <c r="I13" s="89">
        <v>0</v>
      </c>
      <c r="J13" s="32">
        <f t="shared" si="0"/>
        <v>6</v>
      </c>
      <c r="K13" s="41">
        <f t="shared" si="1"/>
        <v>0.7145602713269584</v>
      </c>
    </row>
    <row r="14" spans="1:11" s="12" customFormat="1" ht="15.75">
      <c r="A14" s="55">
        <v>12</v>
      </c>
      <c r="B14" s="11" t="s">
        <v>12</v>
      </c>
      <c r="C14" s="88">
        <v>6</v>
      </c>
      <c r="D14" s="90">
        <v>15</v>
      </c>
      <c r="E14" s="90">
        <v>6</v>
      </c>
      <c r="F14" s="107">
        <v>26</v>
      </c>
      <c r="G14" s="90">
        <v>216</v>
      </c>
      <c r="H14" s="32">
        <v>4899</v>
      </c>
      <c r="I14" s="89">
        <v>0</v>
      </c>
      <c r="J14" s="32">
        <f t="shared" si="0"/>
        <v>6</v>
      </c>
      <c r="K14" s="41">
        <f t="shared" si="1"/>
        <v>0.6748598615101983</v>
      </c>
    </row>
    <row r="15" spans="1:11" s="12" customFormat="1" ht="31.5">
      <c r="A15" s="55">
        <v>13</v>
      </c>
      <c r="B15" s="11" t="s">
        <v>8</v>
      </c>
      <c r="C15" s="88">
        <v>6</v>
      </c>
      <c r="D15" s="90">
        <v>15</v>
      </c>
      <c r="E15" s="90">
        <v>5</v>
      </c>
      <c r="F15" s="107">
        <v>26</v>
      </c>
      <c r="G15" s="90">
        <v>191</v>
      </c>
      <c r="H15" s="32">
        <v>4899</v>
      </c>
      <c r="I15" s="89">
        <v>0</v>
      </c>
      <c r="J15" s="32">
        <f t="shared" si="0"/>
        <v>6</v>
      </c>
      <c r="K15" s="41">
        <f t="shared" si="1"/>
        <v>0.6312952407869739</v>
      </c>
    </row>
    <row r="16" spans="1:11" s="12" customFormat="1" ht="31.5">
      <c r="A16" s="55">
        <v>14</v>
      </c>
      <c r="B16" s="11" t="s">
        <v>10</v>
      </c>
      <c r="C16" s="88">
        <v>0</v>
      </c>
      <c r="D16" s="90">
        <v>15</v>
      </c>
      <c r="E16" s="90">
        <v>12</v>
      </c>
      <c r="F16" s="107">
        <v>26</v>
      </c>
      <c r="G16" s="90">
        <v>561</v>
      </c>
      <c r="H16" s="32">
        <v>4899</v>
      </c>
      <c r="I16" s="89">
        <v>0</v>
      </c>
      <c r="J16" s="32">
        <f t="shared" si="0"/>
        <v>6</v>
      </c>
      <c r="K16" s="41">
        <f t="shared" si="1"/>
        <v>0.5760516274906967</v>
      </c>
    </row>
    <row r="17" spans="1:11" s="12" customFormat="1" ht="31.5">
      <c r="A17" s="55">
        <v>15</v>
      </c>
      <c r="B17" s="11" t="s">
        <v>21</v>
      </c>
      <c r="C17" s="88">
        <v>3</v>
      </c>
      <c r="D17" s="90">
        <v>15</v>
      </c>
      <c r="E17" s="90">
        <v>7</v>
      </c>
      <c r="F17" s="107">
        <v>26</v>
      </c>
      <c r="G17" s="90">
        <v>287</v>
      </c>
      <c r="H17" s="32">
        <v>4899</v>
      </c>
      <c r="I17" s="89">
        <v>0</v>
      </c>
      <c r="J17" s="32">
        <f t="shared" si="0"/>
        <v>6</v>
      </c>
      <c r="K17" s="41">
        <f t="shared" si="1"/>
        <v>0.5278141535949252</v>
      </c>
    </row>
    <row r="18" spans="1:11" s="12" customFormat="1" ht="31.5">
      <c r="A18" s="55">
        <v>16</v>
      </c>
      <c r="B18" s="11" t="s">
        <v>18</v>
      </c>
      <c r="C18" s="88">
        <v>6</v>
      </c>
      <c r="D18" s="90">
        <v>15</v>
      </c>
      <c r="E18" s="90">
        <v>3</v>
      </c>
      <c r="F18" s="107">
        <v>26</v>
      </c>
      <c r="G18" s="90">
        <v>35</v>
      </c>
      <c r="H18" s="32">
        <v>4899</v>
      </c>
      <c r="I18" s="89">
        <v>0</v>
      </c>
      <c r="J18" s="32">
        <f t="shared" si="0"/>
        <v>6</v>
      </c>
      <c r="K18" s="41">
        <f t="shared" si="1"/>
        <v>0.5225289305509759</v>
      </c>
    </row>
    <row r="19" spans="1:11" s="12" customFormat="1" ht="18.75" customHeight="1">
      <c r="A19" s="55">
        <v>17</v>
      </c>
      <c r="B19" s="11" t="s">
        <v>29</v>
      </c>
      <c r="C19" s="88">
        <v>2</v>
      </c>
      <c r="D19" s="90">
        <v>15</v>
      </c>
      <c r="E19" s="90">
        <v>4</v>
      </c>
      <c r="F19" s="107">
        <v>26</v>
      </c>
      <c r="G19" s="90">
        <v>92</v>
      </c>
      <c r="H19" s="32">
        <v>4899</v>
      </c>
      <c r="I19" s="89">
        <v>1</v>
      </c>
      <c r="J19" s="32">
        <f t="shared" si="0"/>
        <v>6</v>
      </c>
      <c r="K19" s="41">
        <f t="shared" si="1"/>
        <v>0.47262549656915853</v>
      </c>
    </row>
    <row r="20" spans="1:11" s="12" customFormat="1" ht="15.75">
      <c r="A20" s="55">
        <v>18</v>
      </c>
      <c r="B20" s="11" t="s">
        <v>11</v>
      </c>
      <c r="C20" s="88">
        <v>1</v>
      </c>
      <c r="D20" s="90">
        <v>15</v>
      </c>
      <c r="E20" s="90">
        <v>8</v>
      </c>
      <c r="F20" s="107">
        <v>26</v>
      </c>
      <c r="G20" s="90">
        <v>295</v>
      </c>
      <c r="H20" s="32">
        <v>4899</v>
      </c>
      <c r="I20" s="89">
        <v>0</v>
      </c>
      <c r="J20" s="32">
        <f t="shared" si="0"/>
        <v>6</v>
      </c>
      <c r="K20" s="41">
        <f t="shared" si="1"/>
        <v>0.43457534504686984</v>
      </c>
    </row>
    <row r="21" spans="1:11" s="12" customFormat="1" ht="31.5">
      <c r="A21" s="55">
        <v>19</v>
      </c>
      <c r="B21" s="11" t="s">
        <v>25</v>
      </c>
      <c r="C21" s="88">
        <v>4</v>
      </c>
      <c r="D21" s="90">
        <v>15</v>
      </c>
      <c r="E21" s="103">
        <v>4</v>
      </c>
      <c r="F21" s="107">
        <v>26</v>
      </c>
      <c r="G21" s="103">
        <v>43</v>
      </c>
      <c r="H21" s="32">
        <v>4899</v>
      </c>
      <c r="I21" s="89">
        <v>0</v>
      </c>
      <c r="J21" s="32">
        <f t="shared" si="0"/>
        <v>6</v>
      </c>
      <c r="K21" s="41">
        <f t="shared" si="1"/>
        <v>0.42929012200292055</v>
      </c>
    </row>
    <row r="22" spans="1:11" s="12" customFormat="1" ht="15.75">
      <c r="A22" s="55">
        <v>20</v>
      </c>
      <c r="B22" s="11" t="s">
        <v>13</v>
      </c>
      <c r="C22" s="88">
        <v>3</v>
      </c>
      <c r="D22" s="90">
        <v>15</v>
      </c>
      <c r="E22" s="90">
        <v>5</v>
      </c>
      <c r="F22" s="107">
        <v>26</v>
      </c>
      <c r="G22" s="90">
        <v>160</v>
      </c>
      <c r="H22" s="32">
        <v>4899</v>
      </c>
      <c r="I22" s="89">
        <v>0</v>
      </c>
      <c r="J22" s="32">
        <f t="shared" si="0"/>
        <v>6</v>
      </c>
      <c r="K22" s="41">
        <f t="shared" si="1"/>
        <v>0.4249674187824831</v>
      </c>
    </row>
    <row r="23" spans="1:11" s="12" customFormat="1" ht="15.75">
      <c r="A23" s="55">
        <v>21</v>
      </c>
      <c r="B23" s="11" t="s">
        <v>30</v>
      </c>
      <c r="C23" s="88">
        <v>0</v>
      </c>
      <c r="D23" s="90">
        <v>15</v>
      </c>
      <c r="E23" s="90">
        <v>9</v>
      </c>
      <c r="F23" s="107">
        <v>26</v>
      </c>
      <c r="G23" s="90">
        <v>252</v>
      </c>
      <c r="H23" s="32">
        <v>4899</v>
      </c>
      <c r="I23" s="89">
        <v>0</v>
      </c>
      <c r="J23" s="32">
        <f t="shared" si="0"/>
        <v>6</v>
      </c>
      <c r="K23" s="41">
        <f t="shared" si="1"/>
        <v>0.3975929153516416</v>
      </c>
    </row>
    <row r="24" spans="1:11" s="12" customFormat="1" ht="15.75">
      <c r="A24" s="55">
        <v>22</v>
      </c>
      <c r="B24" s="11" t="s">
        <v>6</v>
      </c>
      <c r="C24" s="88">
        <v>1</v>
      </c>
      <c r="D24" s="90">
        <v>15</v>
      </c>
      <c r="E24" s="90">
        <v>7</v>
      </c>
      <c r="F24" s="107">
        <v>26</v>
      </c>
      <c r="G24" s="90">
        <v>255</v>
      </c>
      <c r="H24" s="32">
        <v>4899</v>
      </c>
      <c r="I24" s="89">
        <v>0</v>
      </c>
      <c r="J24" s="32">
        <f t="shared" si="0"/>
        <v>6</v>
      </c>
      <c r="K24" s="41">
        <f t="shared" si="1"/>
        <v>0.38794887496663366</v>
      </c>
    </row>
    <row r="25" spans="1:11" s="12" customFormat="1" ht="31.5">
      <c r="A25" s="55">
        <v>23</v>
      </c>
      <c r="B25" s="11" t="s">
        <v>22</v>
      </c>
      <c r="C25" s="88">
        <v>1</v>
      </c>
      <c r="D25" s="90">
        <v>15</v>
      </c>
      <c r="E25" s="90">
        <v>7</v>
      </c>
      <c r="F25" s="107">
        <v>26</v>
      </c>
      <c r="G25" s="90">
        <v>239</v>
      </c>
      <c r="H25" s="32">
        <v>4899</v>
      </c>
      <c r="I25" s="89">
        <v>0</v>
      </c>
      <c r="J25" s="32">
        <f t="shared" si="0"/>
        <v>6</v>
      </c>
      <c r="K25" s="41">
        <f t="shared" si="1"/>
        <v>0.3846829023191546</v>
      </c>
    </row>
    <row r="26" spans="1:11" s="12" customFormat="1" ht="15.75">
      <c r="A26" s="55">
        <v>24</v>
      </c>
      <c r="B26" s="11" t="s">
        <v>33</v>
      </c>
      <c r="C26" s="88">
        <v>4</v>
      </c>
      <c r="D26" s="90">
        <v>15</v>
      </c>
      <c r="E26" s="90">
        <v>2</v>
      </c>
      <c r="F26" s="107">
        <v>26</v>
      </c>
      <c r="G26" s="90">
        <v>23</v>
      </c>
      <c r="H26" s="32">
        <v>4899</v>
      </c>
      <c r="I26" s="89">
        <v>0</v>
      </c>
      <c r="J26" s="32">
        <f t="shared" si="0"/>
        <v>6</v>
      </c>
      <c r="K26" s="41">
        <f t="shared" si="1"/>
        <v>0.3482845792704948</v>
      </c>
    </row>
    <row r="27" spans="1:11" s="12" customFormat="1" ht="31.5">
      <c r="A27" s="55">
        <v>25</v>
      </c>
      <c r="B27" s="11" t="s">
        <v>32</v>
      </c>
      <c r="C27" s="88">
        <v>2</v>
      </c>
      <c r="D27" s="90">
        <v>15</v>
      </c>
      <c r="E27" s="103">
        <v>5</v>
      </c>
      <c r="F27" s="107">
        <v>26</v>
      </c>
      <c r="G27" s="103">
        <v>105</v>
      </c>
      <c r="H27" s="32">
        <v>4899</v>
      </c>
      <c r="I27" s="89">
        <v>0</v>
      </c>
      <c r="J27" s="32">
        <f t="shared" si="0"/>
        <v>6</v>
      </c>
      <c r="K27" s="41">
        <f t="shared" si="1"/>
        <v>0.3470739711401071</v>
      </c>
    </row>
    <row r="28" spans="1:11" s="12" customFormat="1" ht="31.5">
      <c r="A28" s="55">
        <v>26</v>
      </c>
      <c r="B28" s="11" t="s">
        <v>26</v>
      </c>
      <c r="C28" s="88">
        <v>3</v>
      </c>
      <c r="D28" s="90">
        <v>15</v>
      </c>
      <c r="E28" s="90">
        <v>3</v>
      </c>
      <c r="F28" s="107">
        <v>26</v>
      </c>
      <c r="G28" s="90">
        <v>38</v>
      </c>
      <c r="H28" s="32">
        <v>4899</v>
      </c>
      <c r="I28" s="89">
        <v>0</v>
      </c>
      <c r="J28" s="32">
        <f t="shared" si="0"/>
        <v>6</v>
      </c>
      <c r="K28" s="41">
        <f t="shared" si="1"/>
        <v>0.3231413004223782</v>
      </c>
    </row>
    <row r="29" spans="1:11" s="12" customFormat="1" ht="15.75">
      <c r="A29" s="55">
        <v>27</v>
      </c>
      <c r="B29" s="11" t="s">
        <v>23</v>
      </c>
      <c r="C29" s="88">
        <v>1</v>
      </c>
      <c r="D29" s="90">
        <v>15</v>
      </c>
      <c r="E29" s="90">
        <v>5</v>
      </c>
      <c r="F29" s="107">
        <v>26</v>
      </c>
      <c r="G29" s="90">
        <v>206</v>
      </c>
      <c r="H29" s="32">
        <v>4899</v>
      </c>
      <c r="I29" s="89">
        <v>0</v>
      </c>
      <c r="J29" s="32">
        <f t="shared" si="0"/>
        <v>6</v>
      </c>
      <c r="K29" s="41">
        <f t="shared" si="1"/>
        <v>0.30102375681065213</v>
      </c>
    </row>
    <row r="30" spans="1:13" s="12" customFormat="1" ht="15.75">
      <c r="A30" s="55">
        <v>28</v>
      </c>
      <c r="B30" s="11" t="s">
        <v>7</v>
      </c>
      <c r="C30" s="88">
        <v>2</v>
      </c>
      <c r="D30" s="90">
        <v>15</v>
      </c>
      <c r="E30" s="103">
        <v>4</v>
      </c>
      <c r="F30" s="107">
        <v>26</v>
      </c>
      <c r="G30" s="103">
        <v>65</v>
      </c>
      <c r="H30" s="32">
        <v>4899</v>
      </c>
      <c r="I30" s="89">
        <v>0</v>
      </c>
      <c r="J30" s="32">
        <f t="shared" si="0"/>
        <v>6</v>
      </c>
      <c r="K30" s="41">
        <f t="shared" si="1"/>
        <v>0.3004475010598709</v>
      </c>
      <c r="M30" s="91"/>
    </row>
    <row r="31" spans="1:11" s="12" customFormat="1" ht="15.75">
      <c r="A31" s="55">
        <v>29</v>
      </c>
      <c r="B31" s="11" t="s">
        <v>34</v>
      </c>
      <c r="C31" s="88">
        <v>3</v>
      </c>
      <c r="D31" s="90">
        <v>15</v>
      </c>
      <c r="E31" s="90">
        <v>2</v>
      </c>
      <c r="F31" s="107">
        <v>26</v>
      </c>
      <c r="G31" s="90">
        <v>16</v>
      </c>
      <c r="H31" s="32">
        <v>4899</v>
      </c>
      <c r="I31" s="89">
        <v>0</v>
      </c>
      <c r="J31" s="32">
        <f t="shared" si="0"/>
        <v>6</v>
      </c>
      <c r="K31" s="41">
        <f t="shared" si="1"/>
        <v>0.280189049570556</v>
      </c>
    </row>
    <row r="32" spans="1:11" s="12" customFormat="1" ht="15.75">
      <c r="A32" s="55">
        <v>30</v>
      </c>
      <c r="B32" s="11" t="s">
        <v>19</v>
      </c>
      <c r="C32" s="88">
        <v>2</v>
      </c>
      <c r="D32" s="90">
        <v>15</v>
      </c>
      <c r="E32" s="90">
        <v>3</v>
      </c>
      <c r="F32" s="107">
        <v>26</v>
      </c>
      <c r="G32" s="90">
        <v>25</v>
      </c>
      <c r="H32" s="32">
        <v>4899</v>
      </c>
      <c r="I32" s="89">
        <v>0</v>
      </c>
      <c r="J32" s="32">
        <f t="shared" si="0"/>
        <v>6</v>
      </c>
      <c r="K32" s="41">
        <f t="shared" si="1"/>
        <v>0.25382103097963477</v>
      </c>
    </row>
    <row r="33" spans="1:11" s="12" customFormat="1" ht="15.75">
      <c r="A33" s="55">
        <v>31</v>
      </c>
      <c r="B33" s="11" t="s">
        <v>131</v>
      </c>
      <c r="C33" s="88">
        <v>0</v>
      </c>
      <c r="D33" s="90">
        <v>15</v>
      </c>
      <c r="E33" s="90">
        <v>5</v>
      </c>
      <c r="F33" s="107">
        <v>26</v>
      </c>
      <c r="G33" s="90">
        <v>60</v>
      </c>
      <c r="H33" s="32">
        <v>4899</v>
      </c>
      <c r="I33" s="89">
        <v>0</v>
      </c>
      <c r="J33" s="32">
        <f t="shared" si="0"/>
        <v>6</v>
      </c>
      <c r="K33" s="41">
        <f t="shared" si="1"/>
        <v>0.20455508973573885</v>
      </c>
    </row>
    <row r="34" spans="1:11" s="12" customFormat="1" ht="15.75">
      <c r="A34" s="55">
        <v>32</v>
      </c>
      <c r="B34" s="11" t="s">
        <v>24</v>
      </c>
      <c r="C34" s="88">
        <v>0</v>
      </c>
      <c r="D34" s="90">
        <v>15</v>
      </c>
      <c r="E34" s="90">
        <v>2</v>
      </c>
      <c r="F34" s="107">
        <v>26</v>
      </c>
      <c r="G34" s="90">
        <v>30</v>
      </c>
      <c r="H34" s="32">
        <v>4899</v>
      </c>
      <c r="I34" s="89">
        <v>0</v>
      </c>
      <c r="J34" s="32">
        <f t="shared" si="0"/>
        <v>6</v>
      </c>
      <c r="K34" s="41">
        <f t="shared" si="1"/>
        <v>0.0830467756371002</v>
      </c>
    </row>
    <row r="35" spans="1:11" s="12" customFormat="1" ht="29.25" customHeight="1">
      <c r="A35" s="55">
        <v>33</v>
      </c>
      <c r="B35" s="11" t="s">
        <v>35</v>
      </c>
      <c r="C35" s="88">
        <v>0</v>
      </c>
      <c r="D35" s="90">
        <v>15</v>
      </c>
      <c r="E35" s="90">
        <v>0</v>
      </c>
      <c r="F35" s="107">
        <v>26</v>
      </c>
      <c r="G35" s="90">
        <v>0</v>
      </c>
      <c r="H35" s="32">
        <v>4899</v>
      </c>
      <c r="I35" s="89">
        <v>0</v>
      </c>
      <c r="J35" s="32">
        <f t="shared" si="0"/>
        <v>6</v>
      </c>
      <c r="K35" s="41">
        <f t="shared" si="1"/>
        <v>0</v>
      </c>
    </row>
    <row r="36" spans="1:11" ht="15.75">
      <c r="A36" s="2"/>
      <c r="B36" s="56" t="s">
        <v>56</v>
      </c>
      <c r="C36" s="76"/>
      <c r="D36" s="76"/>
      <c r="E36" s="77"/>
      <c r="F36" s="77"/>
      <c r="G36" s="77"/>
      <c r="H36" s="32"/>
      <c r="I36" s="92">
        <f>SUM(I3:I35)</f>
        <v>6</v>
      </c>
      <c r="J36" s="78"/>
      <c r="K36" s="50"/>
    </row>
    <row r="37" spans="1:11" ht="60.75">
      <c r="A37" s="87"/>
      <c r="B37" s="84" t="s">
        <v>137</v>
      </c>
      <c r="C37" s="46"/>
      <c r="D37" s="46"/>
      <c r="E37" s="51"/>
      <c r="F37" s="51"/>
      <c r="G37" s="51"/>
      <c r="H37" s="47"/>
      <c r="I37" s="47"/>
      <c r="J37" s="47"/>
      <c r="K37" s="47"/>
    </row>
    <row r="38" spans="1:11" ht="108" customHeight="1">
      <c r="A38" s="82"/>
      <c r="B38" s="66" t="s">
        <v>44</v>
      </c>
      <c r="C38" s="66" t="s">
        <v>112</v>
      </c>
      <c r="D38" s="66" t="s">
        <v>111</v>
      </c>
      <c r="E38" s="66" t="s">
        <v>63</v>
      </c>
      <c r="F38" s="66" t="s">
        <v>64</v>
      </c>
      <c r="G38" s="66" t="s">
        <v>65</v>
      </c>
      <c r="H38" s="66" t="s">
        <v>66</v>
      </c>
      <c r="I38" s="66" t="s">
        <v>67</v>
      </c>
      <c r="J38" s="66" t="s">
        <v>68</v>
      </c>
      <c r="K38" s="66" t="s">
        <v>70</v>
      </c>
    </row>
    <row r="39" spans="1:11" ht="31.5">
      <c r="A39" s="52">
        <v>1</v>
      </c>
      <c r="B39" s="3" t="s">
        <v>37</v>
      </c>
      <c r="C39" s="28">
        <v>10</v>
      </c>
      <c r="D39" s="28">
        <v>15</v>
      </c>
      <c r="E39" s="13">
        <v>12</v>
      </c>
      <c r="F39" s="13">
        <v>26</v>
      </c>
      <c r="G39" s="93">
        <v>741</v>
      </c>
      <c r="H39" s="106">
        <v>4899</v>
      </c>
      <c r="I39" s="89">
        <v>3</v>
      </c>
      <c r="J39" s="32">
        <f>$I$43</f>
        <v>6</v>
      </c>
      <c r="K39" s="26">
        <f>C39/D39+E39/F39+G39/H39+I39/J39</f>
        <v>1.779460486441503</v>
      </c>
    </row>
    <row r="40" spans="1:11" ht="35.25" customHeight="1">
      <c r="A40" s="52">
        <v>2</v>
      </c>
      <c r="B40" s="3" t="s">
        <v>38</v>
      </c>
      <c r="C40" s="28">
        <v>12</v>
      </c>
      <c r="D40" s="28">
        <v>15</v>
      </c>
      <c r="E40" s="13">
        <v>13</v>
      </c>
      <c r="F40" s="13">
        <v>26</v>
      </c>
      <c r="G40" s="93">
        <v>1078</v>
      </c>
      <c r="H40" s="106">
        <v>4899</v>
      </c>
      <c r="I40" s="89">
        <v>1</v>
      </c>
      <c r="J40" s="32">
        <f>$I$43</f>
        <v>6</v>
      </c>
      <c r="K40" s="26">
        <f>C40/D40+E40/F40+G40/H40+I40/J40</f>
        <v>1.6867115737905696</v>
      </c>
    </row>
    <row r="41" spans="1:11" ht="45" customHeight="1">
      <c r="A41" s="52">
        <v>3</v>
      </c>
      <c r="B41" s="3" t="s">
        <v>39</v>
      </c>
      <c r="C41" s="28">
        <v>11</v>
      </c>
      <c r="D41" s="28">
        <v>15</v>
      </c>
      <c r="E41" s="13">
        <v>12</v>
      </c>
      <c r="F41" s="13">
        <v>26</v>
      </c>
      <c r="G41" s="93">
        <v>1321</v>
      </c>
      <c r="H41" s="106">
        <v>4899</v>
      </c>
      <c r="I41" s="89">
        <v>1</v>
      </c>
      <c r="J41" s="32">
        <f>$I$43</f>
        <v>6</v>
      </c>
      <c r="K41" s="26">
        <f>C41/D41+E41/F41+G41/H41+I41/J41</f>
        <v>1.631185328245953</v>
      </c>
    </row>
    <row r="42" spans="1:11" ht="24" customHeight="1">
      <c r="A42" s="52">
        <v>4</v>
      </c>
      <c r="B42" s="3" t="s">
        <v>36</v>
      </c>
      <c r="C42" s="28">
        <v>2</v>
      </c>
      <c r="D42" s="28">
        <v>15</v>
      </c>
      <c r="E42" s="13">
        <v>18</v>
      </c>
      <c r="F42" s="13">
        <v>26</v>
      </c>
      <c r="G42" s="93">
        <v>1419</v>
      </c>
      <c r="H42" s="106">
        <v>4899</v>
      </c>
      <c r="I42" s="89">
        <v>1</v>
      </c>
      <c r="J42" s="32">
        <f>$I$43</f>
        <v>6</v>
      </c>
      <c r="K42" s="26">
        <f>C42/D42+E42/F42+G42/H42+I42/J42</f>
        <v>1.281958641480993</v>
      </c>
    </row>
    <row r="43" spans="1:11" ht="15.75">
      <c r="A43" s="2"/>
      <c r="B43" s="56" t="s">
        <v>56</v>
      </c>
      <c r="C43" s="76"/>
      <c r="D43" s="76"/>
      <c r="E43" s="79"/>
      <c r="F43" s="80"/>
      <c r="G43" s="80"/>
      <c r="H43" s="80"/>
      <c r="I43" s="49">
        <f>SUM(I39:I42)</f>
        <v>6</v>
      </c>
      <c r="J43" s="81"/>
      <c r="K43" s="81"/>
    </row>
    <row r="45" spans="2:4" ht="15.75">
      <c r="B45" s="27"/>
      <c r="C45" s="27"/>
      <c r="D45" s="27"/>
    </row>
    <row r="46" spans="2:4" ht="15.75">
      <c r="B46" s="27"/>
      <c r="C46" s="27"/>
      <c r="D46" s="27"/>
    </row>
  </sheetData>
  <sheetProtection/>
  <mergeCells count="1">
    <mergeCell ref="B1:C1"/>
  </mergeCells>
  <printOptions/>
  <pageMargins left="0.44" right="0.26" top="0.26" bottom="0.17" header="0.21" footer="0.2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4">
      <selection activeCell="H40" sqref="H40"/>
    </sheetView>
  </sheetViews>
  <sheetFormatPr defaultColWidth="9.00390625" defaultRowHeight="12.75"/>
  <cols>
    <col min="1" max="1" width="6.25390625" style="0" customWidth="1"/>
    <col min="2" max="2" width="65.625" style="0" customWidth="1"/>
    <col min="3" max="3" width="19.25390625" style="0" customWidth="1"/>
    <col min="4" max="4" width="13.625" style="0" customWidth="1"/>
    <col min="5" max="5" width="16.375" style="0" customWidth="1"/>
  </cols>
  <sheetData>
    <row r="1" spans="1:5" ht="45" customHeight="1">
      <c r="A1" s="23"/>
      <c r="B1" s="83" t="s">
        <v>138</v>
      </c>
      <c r="C1" s="38"/>
      <c r="D1" s="38"/>
      <c r="E1" s="38"/>
    </row>
    <row r="2" spans="1:5" ht="114.75">
      <c r="A2" s="52" t="s">
        <v>110</v>
      </c>
      <c r="B2" s="66" t="s">
        <v>0</v>
      </c>
      <c r="C2" s="66" t="s">
        <v>54</v>
      </c>
      <c r="D2" s="66" t="s">
        <v>53</v>
      </c>
      <c r="E2" s="66" t="s">
        <v>55</v>
      </c>
    </row>
    <row r="3" spans="1:5" ht="15.75">
      <c r="A3" s="52">
        <v>1</v>
      </c>
      <c r="B3" s="3" t="s">
        <v>14</v>
      </c>
      <c r="C3" s="13">
        <v>19</v>
      </c>
      <c r="D3" s="28">
        <f aca="true" t="shared" si="0" ref="D3:D35">$C$36</f>
        <v>166</v>
      </c>
      <c r="E3" s="15">
        <f aca="true" t="shared" si="1" ref="E3:E35">C3/D3</f>
        <v>0.1144578313253012</v>
      </c>
    </row>
    <row r="4" spans="1:5" ht="15.75">
      <c r="A4" s="52">
        <v>2</v>
      </c>
      <c r="B4" s="3" t="s">
        <v>13</v>
      </c>
      <c r="C4" s="13">
        <v>16</v>
      </c>
      <c r="D4" s="28">
        <f t="shared" si="0"/>
        <v>166</v>
      </c>
      <c r="E4" s="15">
        <f t="shared" si="1"/>
        <v>0.0963855421686747</v>
      </c>
    </row>
    <row r="5" spans="1:5" ht="15.75">
      <c r="A5" s="52">
        <v>3</v>
      </c>
      <c r="B5" s="3" t="s">
        <v>32</v>
      </c>
      <c r="C5" s="13">
        <v>12</v>
      </c>
      <c r="D5" s="28">
        <f t="shared" si="0"/>
        <v>166</v>
      </c>
      <c r="E5" s="15">
        <f t="shared" si="1"/>
        <v>0.07228915662650602</v>
      </c>
    </row>
    <row r="6" spans="1:5" ht="15.75">
      <c r="A6" s="52">
        <v>4</v>
      </c>
      <c r="B6" s="3" t="s">
        <v>22</v>
      </c>
      <c r="C6" s="13">
        <v>10</v>
      </c>
      <c r="D6" s="28">
        <f t="shared" si="0"/>
        <v>166</v>
      </c>
      <c r="E6" s="15">
        <f t="shared" si="1"/>
        <v>0.060240963855421686</v>
      </c>
    </row>
    <row r="7" spans="1:5" ht="15.75">
      <c r="A7" s="52">
        <v>5</v>
      </c>
      <c r="B7" s="3" t="s">
        <v>5</v>
      </c>
      <c r="C7" s="13">
        <v>10</v>
      </c>
      <c r="D7" s="28">
        <f t="shared" si="0"/>
        <v>166</v>
      </c>
      <c r="E7" s="15">
        <f t="shared" si="1"/>
        <v>0.060240963855421686</v>
      </c>
    </row>
    <row r="8" spans="1:5" ht="15.75" customHeight="1">
      <c r="A8" s="52">
        <v>6</v>
      </c>
      <c r="B8" s="3" t="s">
        <v>20</v>
      </c>
      <c r="C8" s="13">
        <v>8</v>
      </c>
      <c r="D8" s="28">
        <f t="shared" si="0"/>
        <v>166</v>
      </c>
      <c r="E8" s="15">
        <f t="shared" si="1"/>
        <v>0.04819277108433735</v>
      </c>
    </row>
    <row r="9" spans="1:5" ht="15.75">
      <c r="A9" s="52">
        <v>7</v>
      </c>
      <c r="B9" s="3" t="s">
        <v>16</v>
      </c>
      <c r="C9" s="13">
        <v>8</v>
      </c>
      <c r="D9" s="28">
        <f t="shared" si="0"/>
        <v>166</v>
      </c>
      <c r="E9" s="15">
        <f t="shared" si="1"/>
        <v>0.04819277108433735</v>
      </c>
    </row>
    <row r="10" spans="1:5" ht="15.75">
      <c r="A10" s="52">
        <v>8</v>
      </c>
      <c r="B10" s="11" t="s">
        <v>15</v>
      </c>
      <c r="C10" s="13">
        <v>8</v>
      </c>
      <c r="D10" s="28">
        <f t="shared" si="0"/>
        <v>166</v>
      </c>
      <c r="E10" s="15">
        <f t="shared" si="1"/>
        <v>0.04819277108433735</v>
      </c>
    </row>
    <row r="11" spans="1:5" ht="15.75">
      <c r="A11" s="52">
        <v>9</v>
      </c>
      <c r="B11" s="3" t="s">
        <v>11</v>
      </c>
      <c r="C11" s="13">
        <v>7</v>
      </c>
      <c r="D11" s="28">
        <f t="shared" si="0"/>
        <v>166</v>
      </c>
      <c r="E11" s="15">
        <f t="shared" si="1"/>
        <v>0.04216867469879518</v>
      </c>
    </row>
    <row r="12" spans="1:5" ht="15.75">
      <c r="A12" s="52">
        <v>10</v>
      </c>
      <c r="B12" s="3" t="s">
        <v>8</v>
      </c>
      <c r="C12" s="13">
        <v>7</v>
      </c>
      <c r="D12" s="28">
        <f t="shared" si="0"/>
        <v>166</v>
      </c>
      <c r="E12" s="15">
        <f t="shared" si="1"/>
        <v>0.04216867469879518</v>
      </c>
    </row>
    <row r="13" spans="1:5" ht="16.5" customHeight="1">
      <c r="A13" s="52">
        <v>11</v>
      </c>
      <c r="B13" s="3" t="s">
        <v>21</v>
      </c>
      <c r="C13" s="13">
        <v>7</v>
      </c>
      <c r="D13" s="28">
        <f t="shared" si="0"/>
        <v>166</v>
      </c>
      <c r="E13" s="15">
        <f t="shared" si="1"/>
        <v>0.04216867469879518</v>
      </c>
    </row>
    <row r="14" spans="1:5" ht="15.75">
      <c r="A14" s="52">
        <v>12</v>
      </c>
      <c r="B14" s="3" t="s">
        <v>34</v>
      </c>
      <c r="C14" s="13">
        <v>6</v>
      </c>
      <c r="D14" s="28">
        <f t="shared" si="0"/>
        <v>166</v>
      </c>
      <c r="E14" s="15">
        <f t="shared" si="1"/>
        <v>0.03614457831325301</v>
      </c>
    </row>
    <row r="15" spans="1:5" ht="17.25" customHeight="1">
      <c r="A15" s="52">
        <v>13</v>
      </c>
      <c r="B15" s="3" t="s">
        <v>29</v>
      </c>
      <c r="C15" s="13">
        <v>6</v>
      </c>
      <c r="D15" s="28">
        <f t="shared" si="0"/>
        <v>166</v>
      </c>
      <c r="E15" s="15">
        <f t="shared" si="1"/>
        <v>0.03614457831325301</v>
      </c>
    </row>
    <row r="16" spans="1:5" ht="18" customHeight="1">
      <c r="A16" s="52">
        <v>14</v>
      </c>
      <c r="B16" s="3" t="s">
        <v>19</v>
      </c>
      <c r="C16" s="13">
        <v>5</v>
      </c>
      <c r="D16" s="28">
        <f t="shared" si="0"/>
        <v>166</v>
      </c>
      <c r="E16" s="15">
        <f t="shared" si="1"/>
        <v>0.030120481927710843</v>
      </c>
    </row>
    <row r="17" spans="1:5" ht="15.75">
      <c r="A17" s="52">
        <v>15</v>
      </c>
      <c r="B17" s="3" t="s">
        <v>31</v>
      </c>
      <c r="C17" s="13">
        <v>5</v>
      </c>
      <c r="D17" s="28">
        <f t="shared" si="0"/>
        <v>166</v>
      </c>
      <c r="E17" s="15">
        <f t="shared" si="1"/>
        <v>0.030120481927710843</v>
      </c>
    </row>
    <row r="18" spans="1:5" ht="15.75">
      <c r="A18" s="52">
        <v>16</v>
      </c>
      <c r="B18" s="3" t="s">
        <v>12</v>
      </c>
      <c r="C18" s="13">
        <v>5</v>
      </c>
      <c r="D18" s="28">
        <f t="shared" si="0"/>
        <v>166</v>
      </c>
      <c r="E18" s="15">
        <f t="shared" si="1"/>
        <v>0.030120481927710843</v>
      </c>
    </row>
    <row r="19" spans="1:5" ht="18.75" customHeight="1">
      <c r="A19" s="52">
        <v>17</v>
      </c>
      <c r="B19" s="3" t="s">
        <v>23</v>
      </c>
      <c r="C19" s="13">
        <v>4</v>
      </c>
      <c r="D19" s="28">
        <f t="shared" si="0"/>
        <v>166</v>
      </c>
      <c r="E19" s="15">
        <f t="shared" si="1"/>
        <v>0.024096385542168676</v>
      </c>
    </row>
    <row r="20" spans="1:5" ht="14.25" customHeight="1">
      <c r="A20" s="52">
        <v>18</v>
      </c>
      <c r="B20" s="3" t="s">
        <v>6</v>
      </c>
      <c r="C20" s="13">
        <v>4</v>
      </c>
      <c r="D20" s="28">
        <f t="shared" si="0"/>
        <v>166</v>
      </c>
      <c r="E20" s="15">
        <f t="shared" si="1"/>
        <v>0.024096385542168676</v>
      </c>
    </row>
    <row r="21" spans="1:5" ht="15.75">
      <c r="A21" s="52">
        <v>19</v>
      </c>
      <c r="B21" s="3" t="s">
        <v>4</v>
      </c>
      <c r="C21" s="28">
        <v>4</v>
      </c>
      <c r="D21" s="28">
        <f t="shared" si="0"/>
        <v>166</v>
      </c>
      <c r="E21" s="15">
        <f t="shared" si="1"/>
        <v>0.024096385542168676</v>
      </c>
    </row>
    <row r="22" spans="1:5" ht="15.75">
      <c r="A22" s="52">
        <v>20</v>
      </c>
      <c r="B22" s="3" t="s">
        <v>10</v>
      </c>
      <c r="C22" s="13">
        <v>3</v>
      </c>
      <c r="D22" s="28">
        <f t="shared" si="0"/>
        <v>166</v>
      </c>
      <c r="E22" s="15">
        <f t="shared" si="1"/>
        <v>0.018072289156626505</v>
      </c>
    </row>
    <row r="23" spans="1:5" ht="15.75">
      <c r="A23" s="52">
        <v>21</v>
      </c>
      <c r="B23" s="3" t="s">
        <v>9</v>
      </c>
      <c r="C23" s="13">
        <v>3</v>
      </c>
      <c r="D23" s="28">
        <f t="shared" si="0"/>
        <v>166</v>
      </c>
      <c r="E23" s="15">
        <f t="shared" si="1"/>
        <v>0.018072289156626505</v>
      </c>
    </row>
    <row r="24" spans="1:5" ht="17.25" customHeight="1">
      <c r="A24" s="52">
        <v>22</v>
      </c>
      <c r="B24" s="3" t="s">
        <v>27</v>
      </c>
      <c r="C24" s="13">
        <v>2</v>
      </c>
      <c r="D24" s="28">
        <f t="shared" si="0"/>
        <v>166</v>
      </c>
      <c r="E24" s="15">
        <f t="shared" si="1"/>
        <v>0.012048192771084338</v>
      </c>
    </row>
    <row r="25" spans="1:5" ht="15.75">
      <c r="A25" s="52">
        <v>23</v>
      </c>
      <c r="B25" s="3" t="s">
        <v>17</v>
      </c>
      <c r="C25" s="13">
        <v>2</v>
      </c>
      <c r="D25" s="28">
        <f t="shared" si="0"/>
        <v>166</v>
      </c>
      <c r="E25" s="15">
        <f t="shared" si="1"/>
        <v>0.012048192771084338</v>
      </c>
    </row>
    <row r="26" spans="1:5" ht="14.25" customHeight="1">
      <c r="A26" s="52">
        <v>24</v>
      </c>
      <c r="B26" s="3" t="s">
        <v>18</v>
      </c>
      <c r="C26" s="13">
        <v>2</v>
      </c>
      <c r="D26" s="28">
        <f t="shared" si="0"/>
        <v>166</v>
      </c>
      <c r="E26" s="15">
        <f t="shared" si="1"/>
        <v>0.012048192771084338</v>
      </c>
    </row>
    <row r="27" spans="1:5" ht="15.75">
      <c r="A27" s="52">
        <v>25</v>
      </c>
      <c r="B27" s="3" t="s">
        <v>30</v>
      </c>
      <c r="C27" s="13">
        <v>1</v>
      </c>
      <c r="D27" s="28">
        <f t="shared" si="0"/>
        <v>166</v>
      </c>
      <c r="E27" s="15">
        <f t="shared" si="1"/>
        <v>0.006024096385542169</v>
      </c>
    </row>
    <row r="28" spans="1:5" ht="15.75">
      <c r="A28" s="52">
        <v>26</v>
      </c>
      <c r="B28" s="3" t="s">
        <v>26</v>
      </c>
      <c r="C28" s="13">
        <v>1</v>
      </c>
      <c r="D28" s="28">
        <f t="shared" si="0"/>
        <v>166</v>
      </c>
      <c r="E28" s="15">
        <f t="shared" si="1"/>
        <v>0.006024096385542169</v>
      </c>
    </row>
    <row r="29" spans="1:5" ht="15.75">
      <c r="A29" s="52">
        <v>27</v>
      </c>
      <c r="B29" s="3" t="s">
        <v>25</v>
      </c>
      <c r="C29" s="13">
        <v>1</v>
      </c>
      <c r="D29" s="28">
        <f t="shared" si="0"/>
        <v>166</v>
      </c>
      <c r="E29" s="15">
        <f t="shared" si="1"/>
        <v>0.006024096385542169</v>
      </c>
    </row>
    <row r="30" spans="1:5" ht="15.75">
      <c r="A30" s="52">
        <v>28</v>
      </c>
      <c r="B30" s="139" t="s">
        <v>7</v>
      </c>
      <c r="C30" s="140">
        <v>0</v>
      </c>
      <c r="D30" s="28">
        <f t="shared" si="0"/>
        <v>166</v>
      </c>
      <c r="E30" s="15">
        <f t="shared" si="1"/>
        <v>0</v>
      </c>
    </row>
    <row r="31" spans="1:5" ht="15.75">
      <c r="A31" s="52">
        <v>29</v>
      </c>
      <c r="B31" s="3" t="s">
        <v>28</v>
      </c>
      <c r="C31" s="13">
        <v>0</v>
      </c>
      <c r="D31" s="28">
        <f t="shared" si="0"/>
        <v>166</v>
      </c>
      <c r="E31" s="15">
        <f t="shared" si="1"/>
        <v>0</v>
      </c>
    </row>
    <row r="32" spans="1:5" ht="15.75">
      <c r="A32" s="52">
        <v>30</v>
      </c>
      <c r="B32" s="3" t="s">
        <v>24</v>
      </c>
      <c r="C32" s="13">
        <v>0</v>
      </c>
      <c r="D32" s="28">
        <f t="shared" si="0"/>
        <v>166</v>
      </c>
      <c r="E32" s="15">
        <f t="shared" si="1"/>
        <v>0</v>
      </c>
    </row>
    <row r="33" spans="1:5" ht="16.5" customHeight="1">
      <c r="A33" s="52">
        <v>31</v>
      </c>
      <c r="B33" s="3" t="s">
        <v>131</v>
      </c>
      <c r="C33" s="13">
        <v>0</v>
      </c>
      <c r="D33" s="28">
        <f t="shared" si="0"/>
        <v>166</v>
      </c>
      <c r="E33" s="15">
        <f t="shared" si="1"/>
        <v>0</v>
      </c>
    </row>
    <row r="34" spans="1:5" ht="15.75">
      <c r="A34" s="52">
        <v>32</v>
      </c>
      <c r="B34" s="3" t="s">
        <v>33</v>
      </c>
      <c r="C34" s="13">
        <v>0</v>
      </c>
      <c r="D34" s="28">
        <f t="shared" si="0"/>
        <v>166</v>
      </c>
      <c r="E34" s="15">
        <f t="shared" si="1"/>
        <v>0</v>
      </c>
    </row>
    <row r="35" spans="1:5" ht="15.75">
      <c r="A35" s="52">
        <v>33</v>
      </c>
      <c r="B35" s="3" t="s">
        <v>35</v>
      </c>
      <c r="C35" s="13">
        <v>0</v>
      </c>
      <c r="D35" s="28">
        <f t="shared" si="0"/>
        <v>166</v>
      </c>
      <c r="E35" s="15">
        <f t="shared" si="1"/>
        <v>0</v>
      </c>
    </row>
    <row r="36" spans="1:5" ht="15.75">
      <c r="A36" s="23"/>
      <c r="B36" s="19" t="s">
        <v>56</v>
      </c>
      <c r="C36" s="22">
        <f>SUM(C3:C35)</f>
        <v>166</v>
      </c>
      <c r="D36" s="4"/>
      <c r="E36" s="15"/>
    </row>
    <row r="37" spans="1:5" ht="36.75" customHeight="1">
      <c r="A37" s="45"/>
      <c r="B37" s="84" t="s">
        <v>139</v>
      </c>
      <c r="C37" s="51"/>
      <c r="D37" s="51"/>
      <c r="E37" s="51"/>
    </row>
    <row r="38" spans="1:5" ht="98.25" customHeight="1">
      <c r="A38" s="10" t="s">
        <v>110</v>
      </c>
      <c r="B38" s="66" t="s">
        <v>44</v>
      </c>
      <c r="C38" s="66" t="s">
        <v>54</v>
      </c>
      <c r="D38" s="66" t="s">
        <v>53</v>
      </c>
      <c r="E38" s="66" t="s">
        <v>55</v>
      </c>
    </row>
    <row r="39" spans="1:5" ht="15.75">
      <c r="A39" s="52">
        <v>1</v>
      </c>
      <c r="B39" s="3" t="s">
        <v>37</v>
      </c>
      <c r="C39" s="13">
        <v>80</v>
      </c>
      <c r="D39" s="28">
        <f>$C$43</f>
        <v>166</v>
      </c>
      <c r="E39" s="15">
        <f>C39/D39</f>
        <v>0.4819277108433735</v>
      </c>
    </row>
    <row r="40" spans="1:5" ht="31.5">
      <c r="A40" s="52">
        <v>2</v>
      </c>
      <c r="B40" s="3" t="s">
        <v>38</v>
      </c>
      <c r="C40" s="13">
        <v>35</v>
      </c>
      <c r="D40" s="28">
        <f>$C$43</f>
        <v>166</v>
      </c>
      <c r="E40" s="15">
        <f>C40/D40</f>
        <v>0.21084337349397592</v>
      </c>
    </row>
    <row r="41" spans="1:5" ht="31.5">
      <c r="A41" s="52">
        <v>3</v>
      </c>
      <c r="B41" s="3" t="s">
        <v>39</v>
      </c>
      <c r="C41" s="13">
        <v>29</v>
      </c>
      <c r="D41" s="28">
        <f>$C$43</f>
        <v>166</v>
      </c>
      <c r="E41" s="15">
        <f>C41/D41</f>
        <v>0.1746987951807229</v>
      </c>
    </row>
    <row r="42" spans="1:5" ht="15.75">
      <c r="A42" s="52">
        <v>4</v>
      </c>
      <c r="B42" s="3" t="s">
        <v>36</v>
      </c>
      <c r="C42" s="13">
        <v>22</v>
      </c>
      <c r="D42" s="28">
        <f>$C$43</f>
        <v>166</v>
      </c>
      <c r="E42" s="15">
        <f>C42/D42</f>
        <v>0.13253012048192772</v>
      </c>
    </row>
    <row r="43" spans="1:5" ht="15.75">
      <c r="A43" s="23"/>
      <c r="B43" s="48" t="s">
        <v>56</v>
      </c>
      <c r="C43" s="49">
        <f>SUM(C39:C42)</f>
        <v>166</v>
      </c>
      <c r="D43" s="50"/>
      <c r="E43" s="50"/>
    </row>
    <row r="45" ht="15.75">
      <c r="B45" s="7"/>
    </row>
  </sheetData>
  <sheetProtection/>
  <printOptions/>
  <pageMargins left="0.41" right="0.22" top="0.35" bottom="0.3" header="0.28" footer="0.2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8">
      <selection activeCell="E39" sqref="E39"/>
    </sheetView>
  </sheetViews>
  <sheetFormatPr defaultColWidth="9.00390625" defaultRowHeight="12.75"/>
  <cols>
    <col min="1" max="1" width="6.00390625" style="0" customWidth="1"/>
    <col min="2" max="2" width="68.75390625" style="0" customWidth="1"/>
    <col min="3" max="3" width="23.25390625" style="0" customWidth="1"/>
    <col min="4" max="4" width="21.875" style="0" customWidth="1"/>
    <col min="5" max="5" width="18.875" style="0" customWidth="1"/>
    <col min="8" max="8" width="10.625" style="0" bestFit="1" customWidth="1"/>
  </cols>
  <sheetData>
    <row r="1" spans="2:5" ht="40.5" customHeight="1">
      <c r="B1" s="72" t="s">
        <v>75</v>
      </c>
      <c r="C1" s="9"/>
      <c r="D1" s="9"/>
      <c r="E1" s="9"/>
    </row>
    <row r="2" spans="1:5" ht="74.25" customHeight="1">
      <c r="A2" s="52" t="s">
        <v>110</v>
      </c>
      <c r="B2" s="66" t="s">
        <v>0</v>
      </c>
      <c r="C2" s="66" t="s">
        <v>76</v>
      </c>
      <c r="D2" s="66" t="s">
        <v>150</v>
      </c>
      <c r="E2" s="66" t="s">
        <v>77</v>
      </c>
    </row>
    <row r="3" spans="1:5" ht="15.75">
      <c r="A3" s="52">
        <v>1</v>
      </c>
      <c r="B3" s="3" t="s">
        <v>19</v>
      </c>
      <c r="C3" s="131">
        <v>3731.5902</v>
      </c>
      <c r="D3" s="128">
        <f aca="true" t="shared" si="0" ref="D3:D35">$C$36</f>
        <v>46207.788199999995</v>
      </c>
      <c r="E3" s="15">
        <f aca="true" t="shared" si="1" ref="E3:E35">C3/D3</f>
        <v>0.08075673702122796</v>
      </c>
    </row>
    <row r="4" spans="1:5" ht="18.75" customHeight="1">
      <c r="A4" s="52">
        <v>2</v>
      </c>
      <c r="B4" s="3" t="s">
        <v>14</v>
      </c>
      <c r="C4" s="127">
        <v>3658.0636</v>
      </c>
      <c r="D4" s="128">
        <f t="shared" si="0"/>
        <v>46207.788199999995</v>
      </c>
      <c r="E4" s="15">
        <f t="shared" si="1"/>
        <v>0.07916552041328825</v>
      </c>
    </row>
    <row r="5" spans="1:5" ht="18" customHeight="1">
      <c r="A5" s="52">
        <v>3</v>
      </c>
      <c r="B5" s="3" t="s">
        <v>15</v>
      </c>
      <c r="C5" s="128">
        <v>3077.9036</v>
      </c>
      <c r="D5" s="128">
        <f t="shared" si="0"/>
        <v>46207.788199999995</v>
      </c>
      <c r="E5" s="15">
        <f t="shared" si="1"/>
        <v>0.0666100612017608</v>
      </c>
    </row>
    <row r="6" spans="1:5" ht="15.75">
      <c r="A6" s="52">
        <v>4</v>
      </c>
      <c r="B6" s="3" t="s">
        <v>9</v>
      </c>
      <c r="C6" s="129">
        <v>3040.9095999999995</v>
      </c>
      <c r="D6" s="128">
        <f t="shared" si="0"/>
        <v>46207.788199999995</v>
      </c>
      <c r="E6" s="15">
        <f t="shared" si="1"/>
        <v>0.0658094602329397</v>
      </c>
    </row>
    <row r="7" spans="1:5" ht="15.75">
      <c r="A7" s="52">
        <v>5</v>
      </c>
      <c r="B7" s="3" t="s">
        <v>21</v>
      </c>
      <c r="C7" s="128">
        <v>3007.326600000001</v>
      </c>
      <c r="D7" s="128">
        <f t="shared" si="0"/>
        <v>46207.788199999995</v>
      </c>
      <c r="E7" s="15">
        <f t="shared" si="1"/>
        <v>0.06508267798890234</v>
      </c>
    </row>
    <row r="8" spans="1:5" ht="15" customHeight="1">
      <c r="A8" s="52">
        <v>6</v>
      </c>
      <c r="B8" s="3" t="s">
        <v>27</v>
      </c>
      <c r="C8" s="128">
        <v>2336.0532000000003</v>
      </c>
      <c r="D8" s="128">
        <f t="shared" si="0"/>
        <v>46207.788199999995</v>
      </c>
      <c r="E8" s="15">
        <f t="shared" si="1"/>
        <v>0.050555399663124334</v>
      </c>
    </row>
    <row r="9" spans="1:5" ht="15" customHeight="1">
      <c r="A9" s="52">
        <v>7</v>
      </c>
      <c r="B9" s="3" t="s">
        <v>29</v>
      </c>
      <c r="C9" s="127">
        <v>2225.1223999999997</v>
      </c>
      <c r="D9" s="128">
        <f t="shared" si="0"/>
        <v>46207.788199999995</v>
      </c>
      <c r="E9" s="15">
        <f t="shared" si="1"/>
        <v>0.04815470479498086</v>
      </c>
    </row>
    <row r="10" spans="1:5" ht="15.75">
      <c r="A10" s="52">
        <v>8</v>
      </c>
      <c r="B10" s="3" t="s">
        <v>24</v>
      </c>
      <c r="C10" s="128">
        <v>2133.7488</v>
      </c>
      <c r="D10" s="128">
        <f t="shared" si="0"/>
        <v>46207.788199999995</v>
      </c>
      <c r="E10" s="15">
        <f t="shared" si="1"/>
        <v>0.04617725459536278</v>
      </c>
    </row>
    <row r="11" spans="1:5" ht="15.75">
      <c r="A11" s="52">
        <v>9</v>
      </c>
      <c r="B11" s="3" t="s">
        <v>11</v>
      </c>
      <c r="C11" s="128">
        <v>1830.8334</v>
      </c>
      <c r="D11" s="128">
        <f t="shared" si="0"/>
        <v>46207.788199999995</v>
      </c>
      <c r="E11" s="15">
        <f t="shared" si="1"/>
        <v>0.039621749305023005</v>
      </c>
    </row>
    <row r="12" spans="1:5" ht="17.25" customHeight="1">
      <c r="A12" s="52">
        <v>10</v>
      </c>
      <c r="B12" s="3" t="s">
        <v>4</v>
      </c>
      <c r="C12" s="128">
        <v>1752.6824</v>
      </c>
      <c r="D12" s="128">
        <f t="shared" si="0"/>
        <v>46207.788199999995</v>
      </c>
      <c r="E12" s="15">
        <f t="shared" si="1"/>
        <v>0.037930454329774654</v>
      </c>
    </row>
    <row r="13" spans="1:5" ht="15.75">
      <c r="A13" s="52">
        <v>11</v>
      </c>
      <c r="B13" s="3" t="s">
        <v>20</v>
      </c>
      <c r="C13" s="128">
        <v>1582.3918</v>
      </c>
      <c r="D13" s="128">
        <f t="shared" si="0"/>
        <v>46207.788199999995</v>
      </c>
      <c r="E13" s="15">
        <f t="shared" si="1"/>
        <v>0.03424513186285771</v>
      </c>
    </row>
    <row r="14" spans="1:5" ht="15.75">
      <c r="A14" s="52">
        <v>12</v>
      </c>
      <c r="B14" s="3" t="s">
        <v>28</v>
      </c>
      <c r="C14" s="128">
        <v>1567.2788</v>
      </c>
      <c r="D14" s="128">
        <f t="shared" si="0"/>
        <v>46207.788199999995</v>
      </c>
      <c r="E14" s="15">
        <f t="shared" si="1"/>
        <v>0.03391806578614815</v>
      </c>
    </row>
    <row r="15" spans="1:5" ht="15.75">
      <c r="A15" s="52">
        <v>13</v>
      </c>
      <c r="B15" s="3" t="s">
        <v>10</v>
      </c>
      <c r="C15" s="128">
        <v>1478.3285999999998</v>
      </c>
      <c r="D15" s="128">
        <f t="shared" si="0"/>
        <v>46207.788199999995</v>
      </c>
      <c r="E15" s="15">
        <f t="shared" si="1"/>
        <v>0.031993061290910264</v>
      </c>
    </row>
    <row r="16" spans="1:5" ht="15" customHeight="1">
      <c r="A16" s="52">
        <v>14</v>
      </c>
      <c r="B16" s="3" t="s">
        <v>6</v>
      </c>
      <c r="C16" s="128">
        <v>1344.3652000000002</v>
      </c>
      <c r="D16" s="128">
        <f t="shared" si="0"/>
        <v>46207.788199999995</v>
      </c>
      <c r="E16" s="15">
        <f t="shared" si="1"/>
        <v>0.029093909325008556</v>
      </c>
    </row>
    <row r="17" spans="1:5" ht="14.25" customHeight="1">
      <c r="A17" s="52">
        <v>15</v>
      </c>
      <c r="B17" s="3" t="s">
        <v>132</v>
      </c>
      <c r="C17" s="128">
        <v>1187.5972</v>
      </c>
      <c r="D17" s="128">
        <f t="shared" si="0"/>
        <v>46207.788199999995</v>
      </c>
      <c r="E17" s="15">
        <f t="shared" si="1"/>
        <v>0.02570123449449156</v>
      </c>
    </row>
    <row r="18" spans="1:5" ht="13.5" customHeight="1">
      <c r="A18" s="52">
        <v>16</v>
      </c>
      <c r="B18" s="3" t="s">
        <v>12</v>
      </c>
      <c r="C18" s="128">
        <v>1020.4958</v>
      </c>
      <c r="D18" s="128">
        <f t="shared" si="0"/>
        <v>46207.788199999995</v>
      </c>
      <c r="E18" s="15">
        <f t="shared" si="1"/>
        <v>0.022084930695730642</v>
      </c>
    </row>
    <row r="19" spans="1:5" ht="15.75">
      <c r="A19" s="52">
        <v>17</v>
      </c>
      <c r="B19" s="3" t="s">
        <v>18</v>
      </c>
      <c r="C19" s="128">
        <v>997.4284</v>
      </c>
      <c r="D19" s="128">
        <f t="shared" si="0"/>
        <v>46207.788199999995</v>
      </c>
      <c r="E19" s="15">
        <f t="shared" si="1"/>
        <v>0.021585720478176883</v>
      </c>
    </row>
    <row r="20" spans="1:5" ht="15.75">
      <c r="A20" s="52">
        <v>18</v>
      </c>
      <c r="B20" s="3" t="s">
        <v>22</v>
      </c>
      <c r="C20" s="128">
        <v>976.539</v>
      </c>
      <c r="D20" s="128">
        <f t="shared" si="0"/>
        <v>46207.788199999995</v>
      </c>
      <c r="E20" s="15">
        <f t="shared" si="1"/>
        <v>0.021133645171962593</v>
      </c>
    </row>
    <row r="21" spans="1:5" ht="15.75">
      <c r="A21" s="52">
        <v>19</v>
      </c>
      <c r="B21" s="3" t="s">
        <v>30</v>
      </c>
      <c r="C21" s="128">
        <v>938.9925999999999</v>
      </c>
      <c r="D21" s="128">
        <f t="shared" si="0"/>
        <v>46207.788199999995</v>
      </c>
      <c r="E21" s="15">
        <f t="shared" si="1"/>
        <v>0.0203210895084565</v>
      </c>
    </row>
    <row r="22" spans="1:5" ht="15.75">
      <c r="A22" s="52">
        <v>20</v>
      </c>
      <c r="B22" s="3" t="s">
        <v>7</v>
      </c>
      <c r="C22" s="127">
        <v>931.8556</v>
      </c>
      <c r="D22" s="128">
        <f t="shared" si="0"/>
        <v>46207.788199999995</v>
      </c>
      <c r="E22" s="15">
        <f t="shared" si="1"/>
        <v>0.02016663502625733</v>
      </c>
    </row>
    <row r="23" spans="1:5" ht="16.5" customHeight="1">
      <c r="A23" s="52">
        <v>21</v>
      </c>
      <c r="B23" s="3" t="s">
        <v>32</v>
      </c>
      <c r="C23" s="127">
        <v>890.2421999999999</v>
      </c>
      <c r="D23" s="128">
        <f t="shared" si="0"/>
        <v>46207.788199999995</v>
      </c>
      <c r="E23" s="15">
        <f t="shared" si="1"/>
        <v>0.01926606389699475</v>
      </c>
    </row>
    <row r="24" spans="1:5" ht="15.75" customHeight="1">
      <c r="A24" s="52">
        <v>22</v>
      </c>
      <c r="B24" s="3" t="s">
        <v>13</v>
      </c>
      <c r="C24" s="128">
        <v>869.7064</v>
      </c>
      <c r="D24" s="128">
        <f t="shared" si="0"/>
        <v>46207.788199999995</v>
      </c>
      <c r="E24" s="15">
        <f t="shared" si="1"/>
        <v>0.01882164098042676</v>
      </c>
    </row>
    <row r="25" spans="1:5" ht="18" customHeight="1">
      <c r="A25" s="52">
        <v>23</v>
      </c>
      <c r="B25" s="3" t="s">
        <v>8</v>
      </c>
      <c r="C25" s="128">
        <v>805.1994</v>
      </c>
      <c r="D25" s="128">
        <f t="shared" si="0"/>
        <v>46207.788199999995</v>
      </c>
      <c r="E25" s="15">
        <f t="shared" si="1"/>
        <v>0.01742562090431327</v>
      </c>
    </row>
    <row r="26" spans="1:5" ht="15.75">
      <c r="A26" s="52">
        <v>24</v>
      </c>
      <c r="B26" s="3" t="s">
        <v>25</v>
      </c>
      <c r="C26" s="127">
        <v>744.7117999999999</v>
      </c>
      <c r="D26" s="128">
        <f t="shared" si="0"/>
        <v>46207.788199999995</v>
      </c>
      <c r="E26" s="15">
        <f t="shared" si="1"/>
        <v>0.016116586164580803</v>
      </c>
    </row>
    <row r="27" spans="1:5" ht="15.75">
      <c r="A27" s="52">
        <v>25</v>
      </c>
      <c r="B27" s="3" t="s">
        <v>17</v>
      </c>
      <c r="C27" s="128">
        <v>651.0061999999999</v>
      </c>
      <c r="D27" s="128">
        <f t="shared" si="0"/>
        <v>46207.788199999995</v>
      </c>
      <c r="E27" s="15">
        <f t="shared" si="1"/>
        <v>0.014088668282114398</v>
      </c>
    </row>
    <row r="28" spans="1:5" ht="17.25" customHeight="1">
      <c r="A28" s="52">
        <v>26</v>
      </c>
      <c r="B28" s="3" t="s">
        <v>23</v>
      </c>
      <c r="C28" s="128">
        <v>649.5572</v>
      </c>
      <c r="D28" s="128">
        <f t="shared" si="0"/>
        <v>46207.788199999995</v>
      </c>
      <c r="E28" s="15">
        <f t="shared" si="1"/>
        <v>0.01405730993200839</v>
      </c>
    </row>
    <row r="29" spans="1:5" ht="15.75">
      <c r="A29" s="52">
        <v>27</v>
      </c>
      <c r="B29" s="3" t="s">
        <v>5</v>
      </c>
      <c r="C29" s="129">
        <v>562.0938000000001</v>
      </c>
      <c r="D29" s="128">
        <f t="shared" si="0"/>
        <v>46207.788199999995</v>
      </c>
      <c r="E29" s="15">
        <f t="shared" si="1"/>
        <v>0.012164481830792329</v>
      </c>
    </row>
    <row r="30" spans="1:5" ht="15.75">
      <c r="A30" s="52">
        <v>28</v>
      </c>
      <c r="B30" s="3" t="s">
        <v>33</v>
      </c>
      <c r="C30" s="128">
        <v>551.418</v>
      </c>
      <c r="D30" s="128">
        <f t="shared" si="0"/>
        <v>46207.788199999995</v>
      </c>
      <c r="E30" s="15">
        <f t="shared" si="1"/>
        <v>0.011933442856284561</v>
      </c>
    </row>
    <row r="31" spans="1:5" ht="15.75">
      <c r="A31" s="52">
        <v>29</v>
      </c>
      <c r="B31" s="3" t="s">
        <v>16</v>
      </c>
      <c r="C31" s="127">
        <v>510.08740000000006</v>
      </c>
      <c r="D31" s="128">
        <f t="shared" si="0"/>
        <v>46207.788199999995</v>
      </c>
      <c r="E31" s="15">
        <f t="shared" si="1"/>
        <v>0.011038991907429149</v>
      </c>
    </row>
    <row r="32" spans="1:5" ht="18" customHeight="1">
      <c r="A32" s="52">
        <v>30</v>
      </c>
      <c r="B32" s="3" t="s">
        <v>26</v>
      </c>
      <c r="C32" s="128">
        <v>432.05740000000003</v>
      </c>
      <c r="D32" s="128">
        <f t="shared" si="0"/>
        <v>46207.788199999995</v>
      </c>
      <c r="E32" s="15">
        <f t="shared" si="1"/>
        <v>0.009350315538366323</v>
      </c>
    </row>
    <row r="33" spans="1:5" ht="15.75">
      <c r="A33" s="52">
        <v>31</v>
      </c>
      <c r="B33" s="3" t="s">
        <v>31</v>
      </c>
      <c r="C33" s="128">
        <v>418.106</v>
      </c>
      <c r="D33" s="128">
        <f t="shared" si="0"/>
        <v>46207.788199999995</v>
      </c>
      <c r="E33" s="15">
        <f t="shared" si="1"/>
        <v>0.00904838808103782</v>
      </c>
    </row>
    <row r="34" spans="1:5" ht="15.75">
      <c r="A34" s="52">
        <v>32</v>
      </c>
      <c r="B34" s="3" t="s">
        <v>34</v>
      </c>
      <c r="C34" s="128">
        <v>304.0956</v>
      </c>
      <c r="D34" s="128">
        <f t="shared" si="0"/>
        <v>46207.788199999995</v>
      </c>
      <c r="E34" s="15">
        <f t="shared" si="1"/>
        <v>0.006581046439266704</v>
      </c>
    </row>
    <row r="35" spans="1:5" ht="15.75">
      <c r="A35" s="52">
        <v>33</v>
      </c>
      <c r="B35" s="3" t="s">
        <v>35</v>
      </c>
      <c r="C35" s="128">
        <v>0</v>
      </c>
      <c r="D35" s="128">
        <f t="shared" si="0"/>
        <v>46207.788199999995</v>
      </c>
      <c r="E35" s="15">
        <f t="shared" si="1"/>
        <v>0</v>
      </c>
    </row>
    <row r="36" spans="1:8" ht="15.75">
      <c r="A36" s="23"/>
      <c r="B36" s="21" t="s">
        <v>56</v>
      </c>
      <c r="C36" s="130">
        <f>SUM(C3:C35)</f>
        <v>46207.788199999995</v>
      </c>
      <c r="D36" s="15"/>
      <c r="E36" s="15"/>
      <c r="H36" s="16"/>
    </row>
    <row r="37" spans="1:5" ht="40.5">
      <c r="A37" s="40"/>
      <c r="B37" s="85" t="s">
        <v>78</v>
      </c>
      <c r="C37" s="53"/>
      <c r="D37" s="53"/>
      <c r="E37" s="53"/>
    </row>
    <row r="38" spans="1:5" ht="63.75">
      <c r="A38" s="52" t="s">
        <v>110</v>
      </c>
      <c r="B38" s="66" t="s">
        <v>44</v>
      </c>
      <c r="C38" s="66" t="s">
        <v>76</v>
      </c>
      <c r="D38" s="66" t="s">
        <v>149</v>
      </c>
      <c r="E38" s="66" t="s">
        <v>158</v>
      </c>
    </row>
    <row r="39" spans="1:5" ht="27.75" customHeight="1">
      <c r="A39" s="52">
        <v>1</v>
      </c>
      <c r="B39" s="3" t="s">
        <v>37</v>
      </c>
      <c r="C39" s="132">
        <v>14633.1794</v>
      </c>
      <c r="D39" s="129">
        <f>$C$43</f>
        <v>45335.407999999996</v>
      </c>
      <c r="E39" s="15">
        <f>C39/D39</f>
        <v>0.32277595031239165</v>
      </c>
    </row>
    <row r="40" spans="1:5" ht="20.25" customHeight="1">
      <c r="A40" s="52">
        <v>2</v>
      </c>
      <c r="B40" s="3" t="s">
        <v>36</v>
      </c>
      <c r="C40" s="128">
        <v>14614.9388</v>
      </c>
      <c r="D40" s="129">
        <f>$C$43</f>
        <v>45335.407999999996</v>
      </c>
      <c r="E40" s="15">
        <f>C40/D40</f>
        <v>0.3223736025492481</v>
      </c>
    </row>
    <row r="41" spans="1:5" ht="23.25" customHeight="1">
      <c r="A41" s="52">
        <v>3</v>
      </c>
      <c r="B41" s="3" t="s">
        <v>39</v>
      </c>
      <c r="C41" s="128">
        <v>9951.889</v>
      </c>
      <c r="D41" s="129">
        <f>$C$43</f>
        <v>45335.407999999996</v>
      </c>
      <c r="E41" s="15">
        <f>C41/D41</f>
        <v>0.21951691710814647</v>
      </c>
    </row>
    <row r="42" spans="1:5" ht="21.75" customHeight="1">
      <c r="A42" s="52">
        <v>4</v>
      </c>
      <c r="B42" s="3" t="s">
        <v>38</v>
      </c>
      <c r="C42" s="128">
        <v>6135.4007999999985</v>
      </c>
      <c r="D42" s="129">
        <f>$C$43</f>
        <v>45335.407999999996</v>
      </c>
      <c r="E42" s="15">
        <f>C42/D42</f>
        <v>0.1353335300302139</v>
      </c>
    </row>
    <row r="43" spans="1:5" ht="15.75">
      <c r="A43" s="23"/>
      <c r="B43" s="21" t="s">
        <v>56</v>
      </c>
      <c r="C43" s="133">
        <f>SUM(C39:C42)</f>
        <v>45335.407999999996</v>
      </c>
      <c r="D43" s="31"/>
      <c r="E43" s="31"/>
    </row>
    <row r="44" spans="2:5" ht="12.75">
      <c r="B44" s="9"/>
      <c r="C44" s="9"/>
      <c r="D44" s="9"/>
      <c r="E44" s="9"/>
    </row>
    <row r="45" spans="2:5" ht="15.75">
      <c r="B45" s="29"/>
      <c r="C45" s="9"/>
      <c r="D45" s="9"/>
      <c r="E45" s="9"/>
    </row>
  </sheetData>
  <sheetProtection/>
  <printOptions/>
  <pageMargins left="0.39" right="0.28" top="0.3" bottom="0.26" header="0.19" footer="0.17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0">
      <selection activeCell="E13" sqref="E13"/>
    </sheetView>
  </sheetViews>
  <sheetFormatPr defaultColWidth="9.00390625" defaultRowHeight="12.75"/>
  <cols>
    <col min="1" max="1" width="7.375" style="0" customWidth="1"/>
    <col min="2" max="2" width="69.875" style="0" customWidth="1"/>
    <col min="3" max="3" width="16.125" style="0" customWidth="1"/>
    <col min="4" max="4" width="16.25390625" style="0" customWidth="1"/>
    <col min="5" max="5" width="17.75390625" style="0" customWidth="1"/>
  </cols>
  <sheetData>
    <row r="1" spans="2:5" ht="40.5">
      <c r="B1" s="72" t="s">
        <v>141</v>
      </c>
      <c r="C1" s="9"/>
      <c r="D1" s="9"/>
      <c r="E1" s="9"/>
    </row>
    <row r="2" spans="1:5" ht="120.75" customHeight="1">
      <c r="A2" s="52" t="s">
        <v>110</v>
      </c>
      <c r="B2" s="66" t="s">
        <v>0</v>
      </c>
      <c r="C2" s="66" t="s">
        <v>49</v>
      </c>
      <c r="D2" s="66" t="s">
        <v>51</v>
      </c>
      <c r="E2" s="66" t="s">
        <v>50</v>
      </c>
    </row>
    <row r="3" spans="1:5" s="12" customFormat="1" ht="15.75">
      <c r="A3" s="55">
        <v>1</v>
      </c>
      <c r="B3" s="11" t="s">
        <v>14</v>
      </c>
      <c r="C3" s="120">
        <v>873.352</v>
      </c>
      <c r="D3" s="120">
        <f aca="true" t="shared" si="0" ref="D3:D9">$C$10</f>
        <v>2828.451</v>
      </c>
      <c r="E3" s="14">
        <f aca="true" t="shared" si="1" ref="E3:E9">C3/D3</f>
        <v>0.3087739543658349</v>
      </c>
    </row>
    <row r="4" spans="1:5" s="12" customFormat="1" ht="15.75">
      <c r="A4" s="55">
        <v>2</v>
      </c>
      <c r="B4" s="11" t="s">
        <v>5</v>
      </c>
      <c r="C4" s="120">
        <v>588</v>
      </c>
      <c r="D4" s="120">
        <f t="shared" si="0"/>
        <v>2828.451</v>
      </c>
      <c r="E4" s="14">
        <f t="shared" si="1"/>
        <v>0.20788763885250267</v>
      </c>
    </row>
    <row r="5" spans="1:5" s="12" customFormat="1" ht="15.75">
      <c r="A5" s="55">
        <v>3</v>
      </c>
      <c r="B5" s="11" t="s">
        <v>15</v>
      </c>
      <c r="C5" s="120">
        <f>235.499+316</f>
        <v>551.499</v>
      </c>
      <c r="D5" s="120">
        <f t="shared" si="0"/>
        <v>2828.451</v>
      </c>
      <c r="E5" s="14">
        <f t="shared" si="1"/>
        <v>0.19498269547536798</v>
      </c>
    </row>
    <row r="6" spans="1:5" s="12" customFormat="1" ht="15.75">
      <c r="A6" s="55">
        <v>4</v>
      </c>
      <c r="B6" s="11" t="s">
        <v>28</v>
      </c>
      <c r="C6" s="120">
        <v>215.6</v>
      </c>
      <c r="D6" s="120">
        <f t="shared" si="0"/>
        <v>2828.451</v>
      </c>
      <c r="E6" s="14">
        <f t="shared" si="1"/>
        <v>0.07622546757925097</v>
      </c>
    </row>
    <row r="7" spans="1:5" s="12" customFormat="1" ht="16.5" customHeight="1">
      <c r="A7" s="55">
        <v>5</v>
      </c>
      <c r="B7" s="11" t="s">
        <v>26</v>
      </c>
      <c r="C7" s="120">
        <v>200</v>
      </c>
      <c r="D7" s="120">
        <f t="shared" si="0"/>
        <v>2828.451</v>
      </c>
      <c r="E7" s="14">
        <f t="shared" si="1"/>
        <v>0.07071008124234784</v>
      </c>
    </row>
    <row r="8" spans="1:5" s="12" customFormat="1" ht="15.75">
      <c r="A8" s="55">
        <v>6</v>
      </c>
      <c r="B8" s="11" t="s">
        <v>12</v>
      </c>
      <c r="C8" s="120">
        <v>200</v>
      </c>
      <c r="D8" s="120">
        <f t="shared" si="0"/>
        <v>2828.451</v>
      </c>
      <c r="E8" s="14">
        <f t="shared" si="1"/>
        <v>0.07071008124234784</v>
      </c>
    </row>
    <row r="9" spans="1:5" s="12" customFormat="1" ht="15.75">
      <c r="A9" s="55">
        <v>7</v>
      </c>
      <c r="B9" s="11" t="s">
        <v>13</v>
      </c>
      <c r="C9" s="120">
        <v>200</v>
      </c>
      <c r="D9" s="120">
        <f t="shared" si="0"/>
        <v>2828.451</v>
      </c>
      <c r="E9" s="14">
        <f t="shared" si="1"/>
        <v>0.07071008124234784</v>
      </c>
    </row>
    <row r="10" spans="2:5" ht="15.75">
      <c r="B10" s="54" t="s">
        <v>52</v>
      </c>
      <c r="C10" s="121">
        <f>SUM(C3:C9)</f>
        <v>2828.451</v>
      </c>
      <c r="D10" s="17"/>
      <c r="E10" s="17"/>
    </row>
    <row r="11" spans="1:5" ht="48" customHeight="1">
      <c r="A11" s="45"/>
      <c r="B11" s="84" t="s">
        <v>140</v>
      </c>
      <c r="C11" s="51"/>
      <c r="D11" s="51"/>
      <c r="E11" s="51"/>
    </row>
    <row r="12" spans="1:5" ht="125.25" customHeight="1">
      <c r="A12" s="52" t="s">
        <v>110</v>
      </c>
      <c r="B12" s="66" t="s">
        <v>44</v>
      </c>
      <c r="C12" s="66" t="s">
        <v>49</v>
      </c>
      <c r="D12" s="66" t="s">
        <v>51</v>
      </c>
      <c r="E12" s="66" t="s">
        <v>159</v>
      </c>
    </row>
    <row r="13" spans="1:5" ht="21" customHeight="1">
      <c r="A13" s="52">
        <v>1</v>
      </c>
      <c r="B13" s="3" t="s">
        <v>37</v>
      </c>
      <c r="C13" s="26">
        <f>C3+C5+C6+C9</f>
        <v>1840.451</v>
      </c>
      <c r="D13" s="122">
        <f>$C$17</f>
        <v>2828.451</v>
      </c>
      <c r="E13" s="15">
        <f>C13/D13</f>
        <v>0.6506921986628017</v>
      </c>
    </row>
    <row r="14" spans="1:5" ht="17.25" customHeight="1">
      <c r="A14" s="55">
        <v>2</v>
      </c>
      <c r="B14" s="3" t="s">
        <v>38</v>
      </c>
      <c r="C14" s="26">
        <f>C4+C7</f>
        <v>788</v>
      </c>
      <c r="D14" s="122">
        <f>$C$17</f>
        <v>2828.451</v>
      </c>
      <c r="E14" s="15">
        <f>C14/D14</f>
        <v>0.2785977200948505</v>
      </c>
    </row>
    <row r="15" spans="1:5" ht="20.25" customHeight="1">
      <c r="A15" s="52">
        <v>3</v>
      </c>
      <c r="B15" s="3" t="s">
        <v>39</v>
      </c>
      <c r="C15" s="15">
        <f>C8</f>
        <v>200</v>
      </c>
      <c r="D15" s="122">
        <f>$C$17</f>
        <v>2828.451</v>
      </c>
      <c r="E15" s="15">
        <f>C15/D15</f>
        <v>0.07071008124234784</v>
      </c>
    </row>
    <row r="16" spans="1:5" ht="15" customHeight="1">
      <c r="A16" s="52">
        <v>4</v>
      </c>
      <c r="B16" s="3" t="s">
        <v>36</v>
      </c>
      <c r="C16" s="15">
        <v>0</v>
      </c>
      <c r="D16" s="122">
        <f>$C$17</f>
        <v>2828.451</v>
      </c>
      <c r="E16" s="15">
        <f>C16/D16</f>
        <v>0</v>
      </c>
    </row>
    <row r="17" spans="1:5" ht="15.75">
      <c r="A17" s="23"/>
      <c r="B17" s="11" t="s">
        <v>52</v>
      </c>
      <c r="C17" s="121">
        <f>SUM(C13:C16)</f>
        <v>2828.451</v>
      </c>
      <c r="D17" s="24"/>
      <c r="E17" s="24"/>
    </row>
    <row r="18" spans="2:5" ht="12.75">
      <c r="B18" s="9"/>
      <c r="C18" s="9"/>
      <c r="D18" s="9"/>
      <c r="E18" s="9"/>
    </row>
    <row r="19" spans="2:5" ht="15.75">
      <c r="B19" s="10"/>
      <c r="E19" s="16"/>
    </row>
  </sheetData>
  <sheetProtection/>
  <printOptions/>
  <pageMargins left="0.53" right="0.75" top="0.25" bottom="0.36" header="0.2" footer="0.2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20"/>
  <sheetViews>
    <sheetView zoomScale="80" zoomScaleNormal="80" zoomScalePageLayoutView="0" workbookViewId="0" topLeftCell="A28">
      <selection activeCell="K39" sqref="K39"/>
    </sheetView>
  </sheetViews>
  <sheetFormatPr defaultColWidth="9.00390625" defaultRowHeight="12.75"/>
  <cols>
    <col min="1" max="1" width="7.625" style="0" customWidth="1"/>
    <col min="2" max="2" width="59.375" style="0" customWidth="1"/>
    <col min="3" max="3" width="23.00390625" style="0" customWidth="1"/>
    <col min="4" max="4" width="16.75390625" style="0" customWidth="1"/>
    <col min="5" max="5" width="19.375" style="0" customWidth="1"/>
    <col min="6" max="6" width="18.00390625" style="0" customWidth="1"/>
    <col min="7" max="7" width="17.125" style="0" customWidth="1"/>
    <col min="8" max="10" width="14.25390625" style="0" customWidth="1"/>
    <col min="11" max="11" width="15.00390625" style="0" customWidth="1"/>
  </cols>
  <sheetData>
    <row r="1" spans="2:6" ht="40.5">
      <c r="B1" s="72" t="s">
        <v>142</v>
      </c>
      <c r="C1" s="9"/>
      <c r="D1" s="9"/>
      <c r="E1" s="9"/>
      <c r="F1" s="9"/>
    </row>
    <row r="2" spans="1:11" ht="140.25" customHeight="1">
      <c r="A2" s="52" t="s">
        <v>110</v>
      </c>
      <c r="B2" s="66" t="s">
        <v>0</v>
      </c>
      <c r="C2" s="66" t="s">
        <v>57</v>
      </c>
      <c r="D2" s="66" t="s">
        <v>58</v>
      </c>
      <c r="E2" s="66" t="s">
        <v>59</v>
      </c>
      <c r="F2" s="66" t="s">
        <v>61</v>
      </c>
      <c r="G2" s="66" t="s">
        <v>60</v>
      </c>
      <c r="H2" s="66" t="s">
        <v>62</v>
      </c>
      <c r="I2" s="66" t="s">
        <v>113</v>
      </c>
      <c r="J2" s="66" t="s">
        <v>114</v>
      </c>
      <c r="K2" s="66" t="s">
        <v>133</v>
      </c>
    </row>
    <row r="3" spans="1:11" ht="15.75">
      <c r="A3" s="52">
        <v>1</v>
      </c>
      <c r="B3" s="11" t="s">
        <v>27</v>
      </c>
      <c r="C3" s="90">
        <v>118</v>
      </c>
      <c r="D3" s="90">
        <v>159000</v>
      </c>
      <c r="E3" s="90">
        <v>36</v>
      </c>
      <c r="F3" s="89">
        <v>84984</v>
      </c>
      <c r="G3" s="89">
        <v>7</v>
      </c>
      <c r="H3" s="89">
        <v>1140</v>
      </c>
      <c r="I3" s="89">
        <v>887</v>
      </c>
      <c r="J3" s="89">
        <v>3550</v>
      </c>
      <c r="K3" s="41">
        <f aca="true" t="shared" si="0" ref="K3:K35">C3/D3+E3/F3+G3/H3+I3/J3</f>
        <v>0.25716525332150797</v>
      </c>
    </row>
    <row r="4" spans="1:11" s="12" customFormat="1" ht="15.75">
      <c r="A4" s="55">
        <v>2</v>
      </c>
      <c r="B4" s="11" t="s">
        <v>6</v>
      </c>
      <c r="C4" s="103">
        <v>76</v>
      </c>
      <c r="D4" s="90">
        <v>159000</v>
      </c>
      <c r="E4" s="103">
        <v>20</v>
      </c>
      <c r="F4" s="89">
        <v>84984</v>
      </c>
      <c r="G4" s="103">
        <v>7</v>
      </c>
      <c r="H4" s="89">
        <v>1140</v>
      </c>
      <c r="I4" s="117">
        <v>842</v>
      </c>
      <c r="J4" s="89">
        <v>3550</v>
      </c>
      <c r="K4" s="41">
        <f t="shared" si="0"/>
        <v>0.24403677530676907</v>
      </c>
    </row>
    <row r="5" spans="1:11" s="12" customFormat="1" ht="15.75">
      <c r="A5" s="55">
        <v>3</v>
      </c>
      <c r="B5" s="11" t="s">
        <v>32</v>
      </c>
      <c r="C5" s="90">
        <v>49</v>
      </c>
      <c r="D5" s="90">
        <v>159000</v>
      </c>
      <c r="E5" s="90">
        <v>19</v>
      </c>
      <c r="F5" s="89">
        <v>84984</v>
      </c>
      <c r="G5" s="89">
        <v>4</v>
      </c>
      <c r="H5" s="89">
        <v>1140</v>
      </c>
      <c r="I5" s="108">
        <v>800</v>
      </c>
      <c r="J5" s="89">
        <v>3550</v>
      </c>
      <c r="K5" s="41">
        <f t="shared" si="0"/>
        <v>0.2293926322023208</v>
      </c>
    </row>
    <row r="6" spans="1:11" s="12" customFormat="1" ht="15.75">
      <c r="A6" s="55">
        <v>4</v>
      </c>
      <c r="B6" s="11" t="s">
        <v>14</v>
      </c>
      <c r="C6" s="90">
        <v>283</v>
      </c>
      <c r="D6" s="90">
        <v>159000</v>
      </c>
      <c r="E6" s="90">
        <v>99</v>
      </c>
      <c r="F6" s="89">
        <v>84984</v>
      </c>
      <c r="G6" s="89">
        <v>7</v>
      </c>
      <c r="H6" s="89">
        <v>1140</v>
      </c>
      <c r="I6" s="108">
        <v>653</v>
      </c>
      <c r="J6" s="89">
        <v>3550</v>
      </c>
      <c r="K6" s="41">
        <f t="shared" si="0"/>
        <v>0.19302881222524396</v>
      </c>
    </row>
    <row r="7" spans="1:11" s="12" customFormat="1" ht="15.75" customHeight="1">
      <c r="A7" s="55">
        <v>5</v>
      </c>
      <c r="B7" s="11" t="s">
        <v>11</v>
      </c>
      <c r="C7" s="109">
        <v>166</v>
      </c>
      <c r="D7" s="90">
        <v>159000</v>
      </c>
      <c r="E7" s="90">
        <v>18</v>
      </c>
      <c r="F7" s="89">
        <v>84984</v>
      </c>
      <c r="G7" s="89">
        <v>4</v>
      </c>
      <c r="H7" s="89">
        <v>1140</v>
      </c>
      <c r="I7" s="110">
        <v>628</v>
      </c>
      <c r="J7" s="89">
        <v>3550</v>
      </c>
      <c r="K7" s="41">
        <f t="shared" si="0"/>
        <v>0.1816660101127403</v>
      </c>
    </row>
    <row r="8" spans="1:11" s="12" customFormat="1" ht="15.75">
      <c r="A8" s="55">
        <v>6</v>
      </c>
      <c r="B8" s="11" t="s">
        <v>18</v>
      </c>
      <c r="C8" s="90">
        <v>167</v>
      </c>
      <c r="D8" s="90">
        <v>159000</v>
      </c>
      <c r="E8" s="90">
        <v>13</v>
      </c>
      <c r="F8" s="89">
        <v>84984</v>
      </c>
      <c r="G8" s="89">
        <v>3</v>
      </c>
      <c r="H8" s="89">
        <v>1140</v>
      </c>
      <c r="I8" s="108">
        <v>372</v>
      </c>
      <c r="J8" s="89">
        <v>3550</v>
      </c>
      <c r="K8" s="41">
        <f t="shared" si="0"/>
        <v>0.10862359577796146</v>
      </c>
    </row>
    <row r="9" spans="1:11" s="12" customFormat="1" ht="15.75">
      <c r="A9" s="55">
        <v>7</v>
      </c>
      <c r="B9" s="11" t="s">
        <v>21</v>
      </c>
      <c r="C9" s="90">
        <v>138</v>
      </c>
      <c r="D9" s="90">
        <v>159000</v>
      </c>
      <c r="E9" s="90">
        <v>26</v>
      </c>
      <c r="F9" s="89">
        <v>84984</v>
      </c>
      <c r="G9" s="89">
        <v>6</v>
      </c>
      <c r="H9" s="89">
        <v>1140</v>
      </c>
      <c r="I9" s="108">
        <v>321</v>
      </c>
      <c r="J9" s="89">
        <v>3550</v>
      </c>
      <c r="K9" s="41">
        <f t="shared" si="0"/>
        <v>0.0968595575759424</v>
      </c>
    </row>
    <row r="10" spans="1:11" s="12" customFormat="1" ht="18" customHeight="1">
      <c r="A10" s="55">
        <v>8</v>
      </c>
      <c r="B10" s="11" t="s">
        <v>33</v>
      </c>
      <c r="C10" s="90">
        <v>77</v>
      </c>
      <c r="D10" s="90">
        <v>159000</v>
      </c>
      <c r="E10" s="90">
        <v>7</v>
      </c>
      <c r="F10" s="89">
        <v>84984</v>
      </c>
      <c r="G10" s="89">
        <v>3</v>
      </c>
      <c r="H10" s="89">
        <v>1140</v>
      </c>
      <c r="I10" s="108">
        <v>310</v>
      </c>
      <c r="J10" s="89">
        <v>3550</v>
      </c>
      <c r="K10" s="41">
        <f t="shared" si="0"/>
        <v>0.09052216778472509</v>
      </c>
    </row>
    <row r="11" spans="1:11" s="12" customFormat="1" ht="15.75">
      <c r="A11" s="55">
        <v>9</v>
      </c>
      <c r="B11" s="11" t="s">
        <v>24</v>
      </c>
      <c r="C11" s="90">
        <v>98</v>
      </c>
      <c r="D11" s="90">
        <v>159000</v>
      </c>
      <c r="E11" s="90">
        <v>8</v>
      </c>
      <c r="F11" s="89">
        <v>84984</v>
      </c>
      <c r="G11" s="89">
        <v>3</v>
      </c>
      <c r="H11" s="89">
        <v>1140</v>
      </c>
      <c r="I11" s="108">
        <v>273</v>
      </c>
      <c r="J11" s="89">
        <v>3550</v>
      </c>
      <c r="K11" s="41">
        <f t="shared" si="0"/>
        <v>0.08024347496598777</v>
      </c>
    </row>
    <row r="12" spans="1:11" s="12" customFormat="1" ht="15.75">
      <c r="A12" s="55">
        <v>10</v>
      </c>
      <c r="B12" s="11" t="s">
        <v>131</v>
      </c>
      <c r="C12" s="90">
        <v>85</v>
      </c>
      <c r="D12" s="90">
        <v>159000</v>
      </c>
      <c r="E12" s="90">
        <v>10</v>
      </c>
      <c r="F12" s="89">
        <v>84984</v>
      </c>
      <c r="G12" s="89">
        <v>4</v>
      </c>
      <c r="H12" s="89">
        <v>1140</v>
      </c>
      <c r="I12" s="108">
        <v>265</v>
      </c>
      <c r="J12" s="89">
        <v>3550</v>
      </c>
      <c r="K12" s="41">
        <f t="shared" si="0"/>
        <v>0.07880891965705834</v>
      </c>
    </row>
    <row r="13" spans="1:11" s="12" customFormat="1" ht="31.5">
      <c r="A13" s="55">
        <v>11</v>
      </c>
      <c r="B13" s="11" t="s">
        <v>5</v>
      </c>
      <c r="C13" s="90">
        <v>113</v>
      </c>
      <c r="D13" s="90">
        <v>159000</v>
      </c>
      <c r="E13" s="90">
        <v>45</v>
      </c>
      <c r="F13" s="89">
        <v>84984</v>
      </c>
      <c r="G13" s="89">
        <v>4</v>
      </c>
      <c r="H13" s="89">
        <v>1140</v>
      </c>
      <c r="I13" s="108">
        <v>255</v>
      </c>
      <c r="J13" s="89">
        <v>3550</v>
      </c>
      <c r="K13" s="41">
        <f t="shared" si="0"/>
        <v>0.07657996110666394</v>
      </c>
    </row>
    <row r="14" spans="1:11" s="12" customFormat="1" ht="15.75">
      <c r="A14" s="55">
        <v>12</v>
      </c>
      <c r="B14" s="11" t="s">
        <v>17</v>
      </c>
      <c r="C14" s="109">
        <v>178</v>
      </c>
      <c r="D14" s="90">
        <v>159000</v>
      </c>
      <c r="E14" s="90">
        <v>321</v>
      </c>
      <c r="F14" s="89">
        <v>84984</v>
      </c>
      <c r="G14" s="89">
        <v>5</v>
      </c>
      <c r="H14" s="89">
        <v>1140</v>
      </c>
      <c r="I14" s="110">
        <v>195</v>
      </c>
      <c r="J14" s="89">
        <v>3550</v>
      </c>
      <c r="K14" s="41">
        <f t="shared" si="0"/>
        <v>0.06421222081953763</v>
      </c>
    </row>
    <row r="15" spans="1:11" s="12" customFormat="1" ht="15.75">
      <c r="A15" s="55">
        <v>13</v>
      </c>
      <c r="B15" s="11" t="s">
        <v>23</v>
      </c>
      <c r="C15" s="90">
        <v>91</v>
      </c>
      <c r="D15" s="90">
        <v>159000</v>
      </c>
      <c r="E15" s="90">
        <v>19</v>
      </c>
      <c r="F15" s="89">
        <v>84984</v>
      </c>
      <c r="G15" s="89">
        <v>5</v>
      </c>
      <c r="H15" s="89">
        <v>1140</v>
      </c>
      <c r="I15" s="108">
        <v>209</v>
      </c>
      <c r="J15" s="89">
        <v>3550</v>
      </c>
      <c r="K15" s="41">
        <f t="shared" si="0"/>
        <v>0.06405510288873656</v>
      </c>
    </row>
    <row r="16" spans="1:11" s="12" customFormat="1" ht="15.75">
      <c r="A16" s="55">
        <v>14</v>
      </c>
      <c r="B16" s="11" t="s">
        <v>19</v>
      </c>
      <c r="C16" s="90">
        <v>26</v>
      </c>
      <c r="D16" s="90">
        <v>159000</v>
      </c>
      <c r="E16" s="90">
        <v>13</v>
      </c>
      <c r="F16" s="89">
        <v>84984</v>
      </c>
      <c r="G16" s="89">
        <v>3</v>
      </c>
      <c r="H16" s="89">
        <v>1140</v>
      </c>
      <c r="I16" s="108">
        <v>200</v>
      </c>
      <c r="J16" s="89">
        <v>3550</v>
      </c>
      <c r="K16" s="41">
        <f t="shared" si="0"/>
        <v>0.05928609909977916</v>
      </c>
    </row>
    <row r="17" spans="1:11" s="12" customFormat="1" ht="15.75">
      <c r="A17" s="55">
        <v>15</v>
      </c>
      <c r="B17" s="11" t="s">
        <v>22</v>
      </c>
      <c r="C17" s="90">
        <v>80</v>
      </c>
      <c r="D17" s="90">
        <v>159000</v>
      </c>
      <c r="E17" s="90">
        <v>4</v>
      </c>
      <c r="F17" s="89">
        <v>84984</v>
      </c>
      <c r="G17" s="89">
        <v>2</v>
      </c>
      <c r="H17" s="89">
        <v>1140</v>
      </c>
      <c r="I17" s="89">
        <v>197</v>
      </c>
      <c r="J17" s="89">
        <v>3550</v>
      </c>
      <c r="K17" s="41">
        <f t="shared" si="0"/>
        <v>0.05779755604880783</v>
      </c>
    </row>
    <row r="18" spans="1:11" s="12" customFormat="1" ht="15.75">
      <c r="A18" s="55">
        <v>16</v>
      </c>
      <c r="B18" s="11" t="s">
        <v>12</v>
      </c>
      <c r="C18" s="90">
        <v>1720</v>
      </c>
      <c r="D18" s="90">
        <v>159000</v>
      </c>
      <c r="E18" s="90">
        <v>76</v>
      </c>
      <c r="F18" s="89">
        <v>84984</v>
      </c>
      <c r="G18" s="89">
        <v>6</v>
      </c>
      <c r="H18" s="89">
        <v>1140</v>
      </c>
      <c r="I18" s="89">
        <v>127</v>
      </c>
      <c r="J18" s="89">
        <v>3550</v>
      </c>
      <c r="K18" s="41">
        <f t="shared" si="0"/>
        <v>0.05274970182819777</v>
      </c>
    </row>
    <row r="19" spans="1:11" s="12" customFormat="1" ht="15.75">
      <c r="A19" s="55">
        <v>17</v>
      </c>
      <c r="B19" s="11" t="s">
        <v>13</v>
      </c>
      <c r="C19" s="90">
        <v>119</v>
      </c>
      <c r="D19" s="90">
        <v>159000</v>
      </c>
      <c r="E19" s="90">
        <v>6</v>
      </c>
      <c r="F19" s="89">
        <v>84984</v>
      </c>
      <c r="G19" s="89">
        <v>2</v>
      </c>
      <c r="H19" s="89">
        <v>1140</v>
      </c>
      <c r="I19" s="89">
        <v>166</v>
      </c>
      <c r="J19" s="89">
        <v>3550</v>
      </c>
      <c r="K19" s="41">
        <f t="shared" si="0"/>
        <v>0.049333978543142885</v>
      </c>
    </row>
    <row r="20" spans="1:11" s="12" customFormat="1" ht="15.75">
      <c r="A20" s="55">
        <v>18</v>
      </c>
      <c r="B20" s="3" t="s">
        <v>29</v>
      </c>
      <c r="C20" s="28">
        <v>237</v>
      </c>
      <c r="D20" s="28">
        <v>159000</v>
      </c>
      <c r="E20" s="28">
        <v>71</v>
      </c>
      <c r="F20" s="32">
        <v>84984</v>
      </c>
      <c r="G20" s="32">
        <v>5</v>
      </c>
      <c r="H20" s="32">
        <v>1140</v>
      </c>
      <c r="I20" s="32">
        <v>149</v>
      </c>
      <c r="J20" s="32">
        <v>3550</v>
      </c>
      <c r="K20" s="26">
        <f t="shared" si="0"/>
        <v>0.04868381331501516</v>
      </c>
    </row>
    <row r="21" spans="1:11" s="12" customFormat="1" ht="15.75">
      <c r="A21" s="55">
        <v>19</v>
      </c>
      <c r="B21" s="11" t="s">
        <v>31</v>
      </c>
      <c r="C21" s="90">
        <v>0</v>
      </c>
      <c r="D21" s="90">
        <v>159000</v>
      </c>
      <c r="E21" s="90">
        <v>0</v>
      </c>
      <c r="F21" s="89">
        <v>84984</v>
      </c>
      <c r="G21" s="89">
        <v>0</v>
      </c>
      <c r="H21" s="89">
        <v>1140</v>
      </c>
      <c r="I21" s="89">
        <v>172</v>
      </c>
      <c r="J21" s="89">
        <v>3550</v>
      </c>
      <c r="K21" s="41">
        <f t="shared" si="0"/>
        <v>0.048450704225352116</v>
      </c>
    </row>
    <row r="22" spans="1:11" s="12" customFormat="1" ht="15.75">
      <c r="A22" s="55">
        <v>20</v>
      </c>
      <c r="B22" s="11" t="s">
        <v>25</v>
      </c>
      <c r="C22" s="103">
        <v>386</v>
      </c>
      <c r="D22" s="90">
        <v>159000</v>
      </c>
      <c r="E22" s="103">
        <v>6</v>
      </c>
      <c r="F22" s="89">
        <v>84984</v>
      </c>
      <c r="G22" s="103">
        <v>2</v>
      </c>
      <c r="H22" s="89">
        <v>1140</v>
      </c>
      <c r="I22" s="103">
        <v>132</v>
      </c>
      <c r="J22" s="89">
        <v>3550</v>
      </c>
      <c r="K22" s="41">
        <f t="shared" si="0"/>
        <v>0.041435759037429354</v>
      </c>
    </row>
    <row r="23" spans="1:11" s="12" customFormat="1" ht="15.75">
      <c r="A23" s="55">
        <v>21</v>
      </c>
      <c r="B23" s="11" t="s">
        <v>15</v>
      </c>
      <c r="C23" s="109">
        <v>88</v>
      </c>
      <c r="D23" s="90">
        <v>159000</v>
      </c>
      <c r="E23" s="90">
        <v>10</v>
      </c>
      <c r="F23" s="89">
        <v>84984</v>
      </c>
      <c r="G23" s="89">
        <v>6</v>
      </c>
      <c r="H23" s="89">
        <v>1140</v>
      </c>
      <c r="I23" s="89">
        <v>116</v>
      </c>
      <c r="J23" s="89">
        <v>3550</v>
      </c>
      <c r="K23" s="41">
        <f t="shared" si="0"/>
        <v>0.03861034256058343</v>
      </c>
    </row>
    <row r="24" spans="1:11" s="12" customFormat="1" ht="15.75">
      <c r="A24" s="55">
        <v>22</v>
      </c>
      <c r="B24" s="11" t="s">
        <v>9</v>
      </c>
      <c r="C24" s="90">
        <v>289</v>
      </c>
      <c r="D24" s="90">
        <v>159000</v>
      </c>
      <c r="E24" s="90">
        <v>24</v>
      </c>
      <c r="F24" s="89">
        <v>84984</v>
      </c>
      <c r="G24" s="89">
        <v>4</v>
      </c>
      <c r="H24" s="89">
        <v>1140</v>
      </c>
      <c r="I24" s="89">
        <v>111</v>
      </c>
      <c r="J24" s="89">
        <v>3550</v>
      </c>
      <c r="K24" s="41">
        <f t="shared" si="0"/>
        <v>0.03687639372649222</v>
      </c>
    </row>
    <row r="25" spans="1:11" s="12" customFormat="1" ht="15.75">
      <c r="A25" s="55">
        <v>23</v>
      </c>
      <c r="B25" s="11" t="s">
        <v>16</v>
      </c>
      <c r="C25" s="90">
        <v>106</v>
      </c>
      <c r="D25" s="90">
        <v>159000</v>
      </c>
      <c r="E25" s="90">
        <v>176</v>
      </c>
      <c r="F25" s="89">
        <v>84984</v>
      </c>
      <c r="G25" s="89">
        <v>4</v>
      </c>
      <c r="H25" s="89">
        <v>1140</v>
      </c>
      <c r="I25" s="89">
        <v>107</v>
      </c>
      <c r="J25" s="89">
        <v>3550</v>
      </c>
      <c r="K25" s="41">
        <f t="shared" si="0"/>
        <v>0.03638726173337333</v>
      </c>
    </row>
    <row r="26" spans="1:11" s="12" customFormat="1" ht="31.5">
      <c r="A26" s="55">
        <v>24</v>
      </c>
      <c r="B26" s="11" t="s">
        <v>4</v>
      </c>
      <c r="C26" s="90">
        <v>150</v>
      </c>
      <c r="D26" s="90">
        <v>159000</v>
      </c>
      <c r="E26" s="90">
        <v>58</v>
      </c>
      <c r="F26" s="89">
        <v>84984</v>
      </c>
      <c r="G26" s="89">
        <v>6</v>
      </c>
      <c r="H26" s="89">
        <v>1140</v>
      </c>
      <c r="I26" s="89">
        <v>98</v>
      </c>
      <c r="J26" s="89">
        <v>3550</v>
      </c>
      <c r="K26" s="41">
        <f t="shared" si="0"/>
        <v>0.03449466933223392</v>
      </c>
    </row>
    <row r="27" spans="1:11" s="12" customFormat="1" ht="31.5">
      <c r="A27" s="55">
        <v>25</v>
      </c>
      <c r="B27" s="11" t="s">
        <v>28</v>
      </c>
      <c r="C27" s="109">
        <v>50</v>
      </c>
      <c r="D27" s="90">
        <v>159000</v>
      </c>
      <c r="E27" s="90">
        <v>10</v>
      </c>
      <c r="F27" s="89">
        <v>84984</v>
      </c>
      <c r="G27" s="89">
        <v>3</v>
      </c>
      <c r="H27" s="89">
        <v>1140</v>
      </c>
      <c r="I27" s="89">
        <v>105</v>
      </c>
      <c r="J27" s="89">
        <v>3550</v>
      </c>
      <c r="K27" s="41">
        <f t="shared" si="0"/>
        <v>0.03264117835322741</v>
      </c>
    </row>
    <row r="28" spans="1:11" s="12" customFormat="1" ht="18" customHeight="1">
      <c r="A28" s="55">
        <v>26</v>
      </c>
      <c r="B28" s="11" t="s">
        <v>10</v>
      </c>
      <c r="C28" s="103">
        <v>49</v>
      </c>
      <c r="D28" s="90">
        <v>159000</v>
      </c>
      <c r="E28" s="103">
        <v>7</v>
      </c>
      <c r="F28" s="89">
        <v>84984</v>
      </c>
      <c r="G28" s="103">
        <v>3</v>
      </c>
      <c r="H28" s="89">
        <v>1140</v>
      </c>
      <c r="I28" s="103">
        <v>105</v>
      </c>
      <c r="J28" s="89">
        <v>3550</v>
      </c>
      <c r="K28" s="41">
        <f t="shared" si="0"/>
        <v>0.03259958828255484</v>
      </c>
    </row>
    <row r="29" spans="1:11" s="12" customFormat="1" ht="15.75">
      <c r="A29" s="55">
        <v>27</v>
      </c>
      <c r="B29" s="11" t="s">
        <v>26</v>
      </c>
      <c r="C29" s="103">
        <v>109</v>
      </c>
      <c r="D29" s="90">
        <v>159000</v>
      </c>
      <c r="E29" s="103">
        <v>64</v>
      </c>
      <c r="F29" s="89">
        <v>84984</v>
      </c>
      <c r="G29" s="103">
        <v>15</v>
      </c>
      <c r="H29" s="89">
        <v>1140</v>
      </c>
      <c r="I29" s="103">
        <v>41</v>
      </c>
      <c r="J29" s="89">
        <v>3550</v>
      </c>
      <c r="K29" s="41">
        <f t="shared" si="0"/>
        <v>0.026145808035942984</v>
      </c>
    </row>
    <row r="30" spans="1:11" s="12" customFormat="1" ht="15.75">
      <c r="A30" s="55">
        <v>28</v>
      </c>
      <c r="B30" s="11" t="s">
        <v>34</v>
      </c>
      <c r="C30" s="90">
        <v>139</v>
      </c>
      <c r="D30" s="90">
        <v>159000</v>
      </c>
      <c r="E30" s="90">
        <v>13</v>
      </c>
      <c r="F30" s="89">
        <v>84984</v>
      </c>
      <c r="G30" s="89">
        <v>4</v>
      </c>
      <c r="H30" s="89">
        <v>1140</v>
      </c>
      <c r="I30" s="89">
        <v>58</v>
      </c>
      <c r="J30" s="89">
        <v>3550</v>
      </c>
      <c r="K30" s="41">
        <f t="shared" si="0"/>
        <v>0.02087398390613467</v>
      </c>
    </row>
    <row r="31" spans="1:11" s="12" customFormat="1" ht="20.25" customHeight="1">
      <c r="A31" s="55">
        <v>29</v>
      </c>
      <c r="B31" s="11" t="s">
        <v>30</v>
      </c>
      <c r="C31" s="90">
        <v>90</v>
      </c>
      <c r="D31" s="90">
        <v>159000</v>
      </c>
      <c r="E31" s="90">
        <v>10</v>
      </c>
      <c r="F31" s="89">
        <v>84984</v>
      </c>
      <c r="G31" s="89">
        <v>4</v>
      </c>
      <c r="H31" s="89">
        <v>1140</v>
      </c>
      <c r="I31" s="89">
        <v>45</v>
      </c>
      <c r="J31" s="89">
        <v>3550</v>
      </c>
      <c r="K31" s="41">
        <f t="shared" si="0"/>
        <v>0.016868535212023354</v>
      </c>
    </row>
    <row r="32" spans="1:11" s="12" customFormat="1" ht="15.75">
      <c r="A32" s="55">
        <v>30</v>
      </c>
      <c r="B32" s="11" t="s">
        <v>7</v>
      </c>
      <c r="C32" s="103">
        <v>20</v>
      </c>
      <c r="D32" s="90">
        <v>159000</v>
      </c>
      <c r="E32" s="103">
        <v>13</v>
      </c>
      <c r="F32" s="89">
        <v>84984</v>
      </c>
      <c r="G32" s="103">
        <v>3</v>
      </c>
      <c r="H32" s="89">
        <v>1140</v>
      </c>
      <c r="I32" s="103">
        <v>44</v>
      </c>
      <c r="J32" s="89">
        <v>3550</v>
      </c>
      <c r="K32" s="41">
        <f t="shared" si="0"/>
        <v>0.015304701278891568</v>
      </c>
    </row>
    <row r="33" spans="1:11" s="12" customFormat="1" ht="15.75">
      <c r="A33" s="55">
        <v>31</v>
      </c>
      <c r="B33" s="11" t="s">
        <v>20</v>
      </c>
      <c r="C33" s="90">
        <v>101</v>
      </c>
      <c r="D33" s="90">
        <v>159000</v>
      </c>
      <c r="E33" s="90">
        <v>7</v>
      </c>
      <c r="F33" s="89">
        <v>84984</v>
      </c>
      <c r="G33" s="89">
        <v>3</v>
      </c>
      <c r="H33" s="89">
        <v>1140</v>
      </c>
      <c r="I33" s="89">
        <v>40</v>
      </c>
      <c r="J33" s="89">
        <v>3550</v>
      </c>
      <c r="K33" s="41">
        <f t="shared" si="0"/>
        <v>0.014616773152782498</v>
      </c>
    </row>
    <row r="34" spans="1:11" s="12" customFormat="1" ht="31.5">
      <c r="A34" s="55">
        <v>32</v>
      </c>
      <c r="B34" s="11" t="s">
        <v>8</v>
      </c>
      <c r="C34" s="109">
        <v>69</v>
      </c>
      <c r="D34" s="90">
        <v>159000</v>
      </c>
      <c r="E34" s="90">
        <v>9</v>
      </c>
      <c r="F34" s="89">
        <v>84984</v>
      </c>
      <c r="G34" s="89">
        <v>3</v>
      </c>
      <c r="H34" s="89">
        <v>1140</v>
      </c>
      <c r="I34" s="89">
        <v>38</v>
      </c>
      <c r="J34" s="89">
        <v>3550</v>
      </c>
      <c r="K34" s="41">
        <f t="shared" si="0"/>
        <v>0.013875668851121448</v>
      </c>
    </row>
    <row r="35" spans="1:11" s="12" customFormat="1" ht="15.75">
      <c r="A35" s="55">
        <v>33</v>
      </c>
      <c r="B35" s="11" t="s">
        <v>35</v>
      </c>
      <c r="C35" s="90">
        <v>0</v>
      </c>
      <c r="D35" s="90">
        <v>159000</v>
      </c>
      <c r="E35" s="90">
        <v>0</v>
      </c>
      <c r="F35" s="89">
        <v>84984</v>
      </c>
      <c r="G35" s="89">
        <v>0</v>
      </c>
      <c r="H35" s="89">
        <v>1140</v>
      </c>
      <c r="I35" s="89">
        <v>0</v>
      </c>
      <c r="J35" s="89">
        <v>3550</v>
      </c>
      <c r="K35" s="41">
        <f t="shared" si="0"/>
        <v>0</v>
      </c>
    </row>
    <row r="36" spans="1:11" s="12" customFormat="1" ht="15.75">
      <c r="A36" s="111"/>
      <c r="B36" s="112"/>
      <c r="C36" s="113"/>
      <c r="D36" s="114"/>
      <c r="E36" s="113"/>
      <c r="F36" s="115"/>
      <c r="G36" s="113"/>
      <c r="H36" s="115"/>
      <c r="I36" s="113"/>
      <c r="J36" s="115"/>
      <c r="K36" s="116"/>
    </row>
    <row r="37" spans="1:11" ht="40.5">
      <c r="A37" s="45"/>
      <c r="B37" s="84" t="s">
        <v>143</v>
      </c>
      <c r="C37" s="51"/>
      <c r="D37" s="51"/>
      <c r="E37" s="51"/>
      <c r="F37" s="47"/>
      <c r="G37" s="45"/>
      <c r="H37" s="45"/>
      <c r="I37" s="45"/>
      <c r="J37" s="45"/>
      <c r="K37" s="45"/>
    </row>
    <row r="38" spans="1:11" ht="127.5">
      <c r="A38" s="52" t="s">
        <v>110</v>
      </c>
      <c r="B38" s="66" t="s">
        <v>44</v>
      </c>
      <c r="C38" s="66" t="s">
        <v>57</v>
      </c>
      <c r="D38" s="66" t="s">
        <v>58</v>
      </c>
      <c r="E38" s="66" t="s">
        <v>59</v>
      </c>
      <c r="F38" s="66" t="s">
        <v>61</v>
      </c>
      <c r="G38" s="66" t="s">
        <v>60</v>
      </c>
      <c r="H38" s="66" t="s">
        <v>62</v>
      </c>
      <c r="I38" s="66" t="s">
        <v>113</v>
      </c>
      <c r="J38" s="66" t="s">
        <v>114</v>
      </c>
      <c r="K38" s="66" t="s">
        <v>160</v>
      </c>
    </row>
    <row r="39" spans="1:11" ht="31.5">
      <c r="A39" s="52">
        <v>1</v>
      </c>
      <c r="B39" s="3" t="s">
        <v>39</v>
      </c>
      <c r="C39" s="28">
        <v>85</v>
      </c>
      <c r="D39" s="28">
        <v>159000</v>
      </c>
      <c r="E39" s="28">
        <v>220</v>
      </c>
      <c r="F39" s="32">
        <v>84984</v>
      </c>
      <c r="G39" s="25">
        <v>6</v>
      </c>
      <c r="H39" s="32">
        <v>1140</v>
      </c>
      <c r="I39" s="25">
        <v>221</v>
      </c>
      <c r="J39" s="25">
        <v>3550</v>
      </c>
      <c r="K39" s="26">
        <f>C39/D39+E39/F39+G39/H39+I39/J39</f>
        <v>0.07063999279954042</v>
      </c>
    </row>
    <row r="40" spans="1:11" ht="15.75">
      <c r="A40" s="52">
        <v>2</v>
      </c>
      <c r="B40" s="3" t="s">
        <v>37</v>
      </c>
      <c r="C40" s="28">
        <v>0</v>
      </c>
      <c r="D40" s="28">
        <v>159000</v>
      </c>
      <c r="E40" s="28">
        <v>0</v>
      </c>
      <c r="F40" s="32">
        <v>84984</v>
      </c>
      <c r="G40" s="25">
        <v>0</v>
      </c>
      <c r="H40" s="32">
        <v>1140</v>
      </c>
      <c r="I40" s="25">
        <v>159</v>
      </c>
      <c r="J40" s="25">
        <v>3550</v>
      </c>
      <c r="K40" s="26">
        <f>C40/D40+E40/F40+G40/H40+I40/J40</f>
        <v>0.0447887323943662</v>
      </c>
    </row>
    <row r="41" spans="1:11" ht="15.75">
      <c r="A41" s="52">
        <v>3</v>
      </c>
      <c r="B41" s="3" t="s">
        <v>36</v>
      </c>
      <c r="C41" s="28">
        <v>52</v>
      </c>
      <c r="D41" s="28">
        <v>159000</v>
      </c>
      <c r="E41" s="28">
        <v>4</v>
      </c>
      <c r="F41" s="32">
        <v>84984</v>
      </c>
      <c r="G41" s="25">
        <v>2</v>
      </c>
      <c r="H41" s="32">
        <v>1140</v>
      </c>
      <c r="I41" s="25">
        <v>149</v>
      </c>
      <c r="J41" s="25">
        <v>3550</v>
      </c>
      <c r="K41" s="26">
        <f>C41/D41+E41/F41+G41/H41+I41/J41</f>
        <v>0.04410032865931363</v>
      </c>
    </row>
    <row r="42" spans="1:11" ht="31.5">
      <c r="A42" s="52">
        <v>4</v>
      </c>
      <c r="B42" s="3" t="s">
        <v>38</v>
      </c>
      <c r="C42" s="28">
        <v>0</v>
      </c>
      <c r="D42" s="28">
        <v>159000</v>
      </c>
      <c r="E42" s="28">
        <v>0</v>
      </c>
      <c r="F42" s="32">
        <v>84984</v>
      </c>
      <c r="G42" s="25">
        <v>0</v>
      </c>
      <c r="H42" s="32">
        <v>1140</v>
      </c>
      <c r="I42" s="25">
        <v>145</v>
      </c>
      <c r="J42" s="25">
        <v>3550</v>
      </c>
      <c r="K42" s="26">
        <f>C42/D42+E42/F42+G42/H42+I42/J42</f>
        <v>0.04084507042253521</v>
      </c>
    </row>
    <row r="43" spans="2:6" ht="12.75">
      <c r="B43" s="9"/>
      <c r="C43" s="9"/>
      <c r="D43" s="9"/>
      <c r="E43" s="9"/>
      <c r="F43" s="9"/>
    </row>
    <row r="44" spans="3:6" ht="18.75">
      <c r="C44" s="57"/>
      <c r="D44" s="9"/>
      <c r="E44" s="9"/>
      <c r="F44" s="9"/>
    </row>
    <row r="45" spans="2:6" ht="18.75">
      <c r="B45" s="9"/>
      <c r="C45" s="58"/>
      <c r="D45" s="9"/>
      <c r="E45" s="9"/>
      <c r="F45" s="9"/>
    </row>
    <row r="46" spans="2:6" ht="12.75">
      <c r="B46" s="9"/>
      <c r="C46" s="9"/>
      <c r="D46" s="9"/>
      <c r="E46" s="9"/>
      <c r="F46" s="9"/>
    </row>
    <row r="47" spans="2:6" ht="12.75">
      <c r="B47" s="9"/>
      <c r="C47" s="9"/>
      <c r="D47" s="9"/>
      <c r="E47" s="9"/>
      <c r="F47" s="9"/>
    </row>
    <row r="48" spans="2:6" ht="12.75">
      <c r="B48" s="9"/>
      <c r="C48" s="9"/>
      <c r="D48" s="9"/>
      <c r="E48" s="9"/>
      <c r="F48" s="9"/>
    </row>
    <row r="49" spans="2:6" ht="12.75">
      <c r="B49" s="9"/>
      <c r="C49" s="9"/>
      <c r="D49" s="9"/>
      <c r="E49" s="9"/>
      <c r="F49" s="9"/>
    </row>
    <row r="50" spans="2:6" ht="12.75">
      <c r="B50" s="9"/>
      <c r="C50" s="9"/>
      <c r="D50" s="9"/>
      <c r="E50" s="9"/>
      <c r="F50" s="9"/>
    </row>
    <row r="51" spans="2:6" ht="12.75">
      <c r="B51" s="9"/>
      <c r="C51" s="9"/>
      <c r="D51" s="9"/>
      <c r="E51" s="9"/>
      <c r="F51" s="9"/>
    </row>
    <row r="52" spans="2:6" ht="12.75">
      <c r="B52" s="9"/>
      <c r="C52" s="9"/>
      <c r="D52" s="9"/>
      <c r="E52" s="9"/>
      <c r="F52" s="9"/>
    </row>
    <row r="53" spans="2:6" ht="12.75">
      <c r="B53" s="9"/>
      <c r="C53" s="9"/>
      <c r="D53" s="9"/>
      <c r="E53" s="9"/>
      <c r="F53" s="9"/>
    </row>
    <row r="54" spans="2:6" ht="12.75">
      <c r="B54" s="9"/>
      <c r="C54" s="9"/>
      <c r="D54" s="9"/>
      <c r="E54" s="9"/>
      <c r="F54" s="9"/>
    </row>
    <row r="55" spans="2:6" ht="12.75">
      <c r="B55" s="9"/>
      <c r="C55" s="9"/>
      <c r="D55" s="9"/>
      <c r="E55" s="9"/>
      <c r="F55" s="9"/>
    </row>
    <row r="56" spans="2:6" ht="12.75">
      <c r="B56" s="9"/>
      <c r="C56" s="9"/>
      <c r="D56" s="9"/>
      <c r="E56" s="9"/>
      <c r="F56" s="9"/>
    </row>
    <row r="57" spans="2:6" ht="12.75">
      <c r="B57" s="9"/>
      <c r="C57" s="9"/>
      <c r="D57" s="9"/>
      <c r="E57" s="9"/>
      <c r="F57" s="9"/>
    </row>
    <row r="58" spans="2:6" ht="12.75">
      <c r="B58" s="9"/>
      <c r="C58" s="9"/>
      <c r="D58" s="9"/>
      <c r="E58" s="9"/>
      <c r="F58" s="9"/>
    </row>
    <row r="59" spans="2:6" ht="12.75">
      <c r="B59" s="9"/>
      <c r="C59" s="9"/>
      <c r="D59" s="9"/>
      <c r="E59" s="9"/>
      <c r="F59" s="9"/>
    </row>
    <row r="60" spans="2:6" ht="12.75">
      <c r="B60" s="9"/>
      <c r="C60" s="9"/>
      <c r="D60" s="9"/>
      <c r="E60" s="9"/>
      <c r="F60" s="9"/>
    </row>
    <row r="61" spans="2:6" ht="12.75">
      <c r="B61" s="9"/>
      <c r="C61" s="9"/>
      <c r="D61" s="9"/>
      <c r="E61" s="9"/>
      <c r="F61" s="9"/>
    </row>
    <row r="62" spans="2:6" ht="12.75">
      <c r="B62" s="9"/>
      <c r="C62" s="9"/>
      <c r="D62" s="9"/>
      <c r="E62" s="9"/>
      <c r="F62" s="9"/>
    </row>
    <row r="63" spans="2:6" ht="12.75">
      <c r="B63" s="9"/>
      <c r="C63" s="9"/>
      <c r="D63" s="9"/>
      <c r="E63" s="9"/>
      <c r="F63" s="9"/>
    </row>
    <row r="64" spans="2:6" ht="12.75">
      <c r="B64" s="9"/>
      <c r="C64" s="9"/>
      <c r="D64" s="9"/>
      <c r="E64" s="9"/>
      <c r="F64" s="9"/>
    </row>
    <row r="65" spans="2:6" ht="12.75">
      <c r="B65" s="9"/>
      <c r="C65" s="9"/>
      <c r="D65" s="9"/>
      <c r="E65" s="9"/>
      <c r="F65" s="9"/>
    </row>
    <row r="66" spans="2:6" ht="12.75">
      <c r="B66" s="9"/>
      <c r="C66" s="9"/>
      <c r="D66" s="9"/>
      <c r="E66" s="9"/>
      <c r="F66" s="9"/>
    </row>
    <row r="67" spans="2:6" ht="12.75">
      <c r="B67" s="9"/>
      <c r="C67" s="9"/>
      <c r="D67" s="9"/>
      <c r="E67" s="9"/>
      <c r="F67" s="9"/>
    </row>
    <row r="68" spans="2:6" ht="12.75">
      <c r="B68" s="9"/>
      <c r="C68" s="9"/>
      <c r="D68" s="9"/>
      <c r="E68" s="9"/>
      <c r="F68" s="9"/>
    </row>
    <row r="69" spans="2:6" ht="12.75">
      <c r="B69" s="9"/>
      <c r="C69" s="9"/>
      <c r="D69" s="9"/>
      <c r="E69" s="9"/>
      <c r="F69" s="9"/>
    </row>
    <row r="70" spans="2:6" ht="12.75">
      <c r="B70" s="9"/>
      <c r="C70" s="9"/>
      <c r="D70" s="9"/>
      <c r="E70" s="9"/>
      <c r="F70" s="9"/>
    </row>
    <row r="71" spans="2:6" ht="12.75">
      <c r="B71" s="9"/>
      <c r="C71" s="9"/>
      <c r="D71" s="9"/>
      <c r="E71" s="9"/>
      <c r="F71" s="9"/>
    </row>
    <row r="72" spans="2:6" ht="12.75">
      <c r="B72" s="9"/>
      <c r="C72" s="9"/>
      <c r="D72" s="9"/>
      <c r="E72" s="9"/>
      <c r="F72" s="9"/>
    </row>
    <row r="73" spans="2:6" ht="12.75">
      <c r="B73" s="9"/>
      <c r="C73" s="9"/>
      <c r="D73" s="9"/>
      <c r="E73" s="9"/>
      <c r="F73" s="9"/>
    </row>
    <row r="74" spans="2:6" ht="12.75">
      <c r="B74" s="9"/>
      <c r="C74" s="9"/>
      <c r="D74" s="9"/>
      <c r="E74" s="9"/>
      <c r="F74" s="9"/>
    </row>
    <row r="75" spans="2:6" ht="12.75">
      <c r="B75" s="9"/>
      <c r="C75" s="9"/>
      <c r="D75" s="9"/>
      <c r="E75" s="9"/>
      <c r="F75" s="9"/>
    </row>
    <row r="76" spans="2:6" ht="12.75">
      <c r="B76" s="9"/>
      <c r="C76" s="9"/>
      <c r="D76" s="9"/>
      <c r="E76" s="9"/>
      <c r="F76" s="9"/>
    </row>
    <row r="77" spans="2:6" ht="12.75">
      <c r="B77" s="9"/>
      <c r="C77" s="9"/>
      <c r="D77" s="9"/>
      <c r="E77" s="9"/>
      <c r="F77" s="9"/>
    </row>
    <row r="78" spans="2:6" ht="12.75">
      <c r="B78" s="9"/>
      <c r="C78" s="9"/>
      <c r="D78" s="9"/>
      <c r="E78" s="9"/>
      <c r="F78" s="9"/>
    </row>
    <row r="79" spans="2:6" ht="12.75">
      <c r="B79" s="9"/>
      <c r="C79" s="9"/>
      <c r="D79" s="9"/>
      <c r="E79" s="9"/>
      <c r="F79" s="9"/>
    </row>
    <row r="80" spans="2:6" ht="12.75">
      <c r="B80" s="9"/>
      <c r="C80" s="9"/>
      <c r="D80" s="9"/>
      <c r="E80" s="9"/>
      <c r="F80" s="9"/>
    </row>
    <row r="81" spans="2:6" ht="12.75">
      <c r="B81" s="9"/>
      <c r="C81" s="9"/>
      <c r="D81" s="9"/>
      <c r="E81" s="9"/>
      <c r="F81" s="9"/>
    </row>
    <row r="82" spans="2:6" ht="12.75">
      <c r="B82" s="9"/>
      <c r="C82" s="9"/>
      <c r="D82" s="9"/>
      <c r="E82" s="9"/>
      <c r="F82" s="9"/>
    </row>
    <row r="83" spans="2:6" ht="12.75">
      <c r="B83" s="9"/>
      <c r="C83" s="9"/>
      <c r="D83" s="9"/>
      <c r="E83" s="9"/>
      <c r="F83" s="9"/>
    </row>
    <row r="84" spans="2:6" ht="12.75">
      <c r="B84" s="9"/>
      <c r="C84" s="9"/>
      <c r="D84" s="9"/>
      <c r="E84" s="9"/>
      <c r="F84" s="9"/>
    </row>
    <row r="85" spans="2:6" ht="12.75">
      <c r="B85" s="9"/>
      <c r="C85" s="9"/>
      <c r="D85" s="9"/>
      <c r="E85" s="9"/>
      <c r="F85" s="9"/>
    </row>
    <row r="86" spans="2:6" ht="12.75">
      <c r="B86" s="9"/>
      <c r="C86" s="9"/>
      <c r="D86" s="9"/>
      <c r="E86" s="9"/>
      <c r="F86" s="9"/>
    </row>
    <row r="87" spans="2:6" ht="12.75">
      <c r="B87" s="9"/>
      <c r="C87" s="9"/>
      <c r="D87" s="9"/>
      <c r="E87" s="9"/>
      <c r="F87" s="9"/>
    </row>
    <row r="88" spans="2:6" ht="12.75">
      <c r="B88" s="9"/>
      <c r="C88" s="9"/>
      <c r="D88" s="9"/>
      <c r="E88" s="9"/>
      <c r="F88" s="9"/>
    </row>
    <row r="89" spans="2:6" ht="12.75">
      <c r="B89" s="9"/>
      <c r="C89" s="9"/>
      <c r="D89" s="9"/>
      <c r="E89" s="9"/>
      <c r="F89" s="9"/>
    </row>
    <row r="90" spans="2:6" ht="12.75">
      <c r="B90" s="9"/>
      <c r="C90" s="9"/>
      <c r="D90" s="9"/>
      <c r="E90" s="9"/>
      <c r="F90" s="9"/>
    </row>
    <row r="91" spans="2:6" ht="12.75">
      <c r="B91" s="9"/>
      <c r="C91" s="9"/>
      <c r="D91" s="9"/>
      <c r="E91" s="9"/>
      <c r="F91" s="9"/>
    </row>
    <row r="92" spans="2:6" ht="12.75">
      <c r="B92" s="9"/>
      <c r="C92" s="9"/>
      <c r="D92" s="9"/>
      <c r="E92" s="9"/>
      <c r="F92" s="9"/>
    </row>
    <row r="93" spans="2:6" ht="12.75">
      <c r="B93" s="9"/>
      <c r="C93" s="9"/>
      <c r="D93" s="9"/>
      <c r="E93" s="9"/>
      <c r="F93" s="9"/>
    </row>
    <row r="94" spans="2:6" ht="12.75">
      <c r="B94" s="9"/>
      <c r="C94" s="9"/>
      <c r="D94" s="9"/>
      <c r="E94" s="9"/>
      <c r="F94" s="9"/>
    </row>
    <row r="95" spans="2:6" ht="12.75">
      <c r="B95" s="9"/>
      <c r="C95" s="9"/>
      <c r="D95" s="9"/>
      <c r="E95" s="9"/>
      <c r="F95" s="9"/>
    </row>
    <row r="96" spans="2:6" ht="12.75">
      <c r="B96" s="9"/>
      <c r="C96" s="9"/>
      <c r="D96" s="9"/>
      <c r="E96" s="9"/>
      <c r="F96" s="9"/>
    </row>
    <row r="97" spans="2:6" ht="12.75">
      <c r="B97" s="9"/>
      <c r="C97" s="9"/>
      <c r="D97" s="9"/>
      <c r="E97" s="9"/>
      <c r="F97" s="9"/>
    </row>
    <row r="98" spans="2:6" ht="12.75">
      <c r="B98" s="9"/>
      <c r="C98" s="9"/>
      <c r="D98" s="9"/>
      <c r="E98" s="9"/>
      <c r="F98" s="9"/>
    </row>
    <row r="99" spans="2:6" ht="12.75">
      <c r="B99" s="9"/>
      <c r="C99" s="9"/>
      <c r="D99" s="9"/>
      <c r="E99" s="9"/>
      <c r="F99" s="9"/>
    </row>
    <row r="100" spans="2:6" ht="12.75">
      <c r="B100" s="9"/>
      <c r="C100" s="9"/>
      <c r="D100" s="9"/>
      <c r="E100" s="9"/>
      <c r="F100" s="9"/>
    </row>
    <row r="101" spans="2:6" ht="12.75">
      <c r="B101" s="9"/>
      <c r="C101" s="9"/>
      <c r="D101" s="9"/>
      <c r="E101" s="9"/>
      <c r="F101" s="9"/>
    </row>
    <row r="102" spans="2:6" ht="12.75">
      <c r="B102" s="9"/>
      <c r="C102" s="9"/>
      <c r="D102" s="9"/>
      <c r="E102" s="9"/>
      <c r="F102" s="9"/>
    </row>
    <row r="103" spans="2:6" ht="12.75">
      <c r="B103" s="9"/>
      <c r="C103" s="9"/>
      <c r="D103" s="9"/>
      <c r="E103" s="9"/>
      <c r="F103" s="9"/>
    </row>
    <row r="104" spans="2:6" ht="12.75">
      <c r="B104" s="9"/>
      <c r="C104" s="9"/>
      <c r="D104" s="9"/>
      <c r="E104" s="9"/>
      <c r="F104" s="9"/>
    </row>
    <row r="105" spans="2:6" ht="12.75">
      <c r="B105" s="9"/>
      <c r="C105" s="9"/>
      <c r="D105" s="9"/>
      <c r="E105" s="9"/>
      <c r="F105" s="9"/>
    </row>
    <row r="106" spans="2:6" ht="12.75">
      <c r="B106" s="9"/>
      <c r="C106" s="9"/>
      <c r="D106" s="9"/>
      <c r="E106" s="9"/>
      <c r="F106" s="9"/>
    </row>
    <row r="107" spans="2:6" ht="12.75">
      <c r="B107" s="9"/>
      <c r="C107" s="9"/>
      <c r="D107" s="9"/>
      <c r="E107" s="9"/>
      <c r="F107" s="9"/>
    </row>
    <row r="108" spans="2:6" ht="12.75">
      <c r="B108" s="9"/>
      <c r="C108" s="9"/>
      <c r="D108" s="9"/>
      <c r="E108" s="9"/>
      <c r="F108" s="9"/>
    </row>
    <row r="109" spans="2:6" ht="12.75">
      <c r="B109" s="9"/>
      <c r="C109" s="9"/>
      <c r="D109" s="9"/>
      <c r="E109" s="9"/>
      <c r="F109" s="9"/>
    </row>
    <row r="110" spans="2:6" ht="12.75">
      <c r="B110" s="9"/>
      <c r="C110" s="9"/>
      <c r="D110" s="9"/>
      <c r="E110" s="9"/>
      <c r="F110" s="9"/>
    </row>
    <row r="111" spans="2:6" ht="12.75">
      <c r="B111" s="9"/>
      <c r="C111" s="9"/>
      <c r="D111" s="9"/>
      <c r="E111" s="9"/>
      <c r="F111" s="9"/>
    </row>
    <row r="112" spans="2:6" ht="12.75">
      <c r="B112" s="9"/>
      <c r="C112" s="9"/>
      <c r="D112" s="9"/>
      <c r="E112" s="9"/>
      <c r="F112" s="9"/>
    </row>
    <row r="113" spans="2:6" ht="12.75">
      <c r="B113" s="9"/>
      <c r="C113" s="9"/>
      <c r="D113" s="9"/>
      <c r="E113" s="9"/>
      <c r="F113" s="9"/>
    </row>
    <row r="114" spans="2:6" ht="12.75">
      <c r="B114" s="9"/>
      <c r="C114" s="9"/>
      <c r="D114" s="9"/>
      <c r="E114" s="9"/>
      <c r="F114" s="9"/>
    </row>
    <row r="115" spans="2:6" ht="12.75">
      <c r="B115" s="9"/>
      <c r="C115" s="9"/>
      <c r="D115" s="9"/>
      <c r="E115" s="9"/>
      <c r="F115" s="9"/>
    </row>
    <row r="116" spans="2:6" ht="12.75">
      <c r="B116" s="9"/>
      <c r="C116" s="9"/>
      <c r="D116" s="9"/>
      <c r="E116" s="9"/>
      <c r="F116" s="9"/>
    </row>
    <row r="117" spans="2:6" ht="12.75">
      <c r="B117" s="9"/>
      <c r="C117" s="9"/>
      <c r="D117" s="9"/>
      <c r="E117" s="9"/>
      <c r="F117" s="9"/>
    </row>
    <row r="118" spans="2:6" ht="12.75">
      <c r="B118" s="9"/>
      <c r="C118" s="9"/>
      <c r="D118" s="9"/>
      <c r="E118" s="9"/>
      <c r="F118" s="9"/>
    </row>
    <row r="119" spans="2:6" ht="12.75">
      <c r="B119" s="9"/>
      <c r="C119" s="9"/>
      <c r="D119" s="9"/>
      <c r="E119" s="9"/>
      <c r="F119" s="9"/>
    </row>
    <row r="120" spans="2:6" ht="12.75">
      <c r="B120" s="9"/>
      <c r="C120" s="9"/>
      <c r="D120" s="9"/>
      <c r="E120" s="9"/>
      <c r="F120" s="9"/>
    </row>
    <row r="121" spans="2:6" ht="12.75">
      <c r="B121" s="9"/>
      <c r="C121" s="9"/>
      <c r="D121" s="9"/>
      <c r="E121" s="9"/>
      <c r="F121" s="9"/>
    </row>
    <row r="122" spans="2:6" ht="12.75">
      <c r="B122" s="9"/>
      <c r="C122" s="9"/>
      <c r="D122" s="9"/>
      <c r="E122" s="9"/>
      <c r="F122" s="9"/>
    </row>
    <row r="123" spans="2:6" ht="12.75">
      <c r="B123" s="9"/>
      <c r="C123" s="9"/>
      <c r="D123" s="9"/>
      <c r="E123" s="9"/>
      <c r="F123" s="9"/>
    </row>
    <row r="124" spans="2:6" ht="12.75">
      <c r="B124" s="9"/>
      <c r="C124" s="9"/>
      <c r="D124" s="9"/>
      <c r="E124" s="9"/>
      <c r="F124" s="9"/>
    </row>
    <row r="125" spans="2:6" ht="12.75">
      <c r="B125" s="9"/>
      <c r="C125" s="9"/>
      <c r="D125" s="9"/>
      <c r="E125" s="9"/>
      <c r="F125" s="9"/>
    </row>
    <row r="126" spans="2:6" ht="12.75">
      <c r="B126" s="9"/>
      <c r="C126" s="9"/>
      <c r="D126" s="9"/>
      <c r="E126" s="9"/>
      <c r="F126" s="9"/>
    </row>
    <row r="127" spans="2:6" ht="12.75">
      <c r="B127" s="9"/>
      <c r="C127" s="9"/>
      <c r="D127" s="9"/>
      <c r="E127" s="9"/>
      <c r="F127" s="9"/>
    </row>
    <row r="128" spans="2:6" ht="12.75">
      <c r="B128" s="9"/>
      <c r="C128" s="9"/>
      <c r="D128" s="9"/>
      <c r="E128" s="9"/>
      <c r="F128" s="9"/>
    </row>
    <row r="129" spans="2:6" ht="12.75">
      <c r="B129" s="9"/>
      <c r="C129" s="9"/>
      <c r="D129" s="9"/>
      <c r="E129" s="9"/>
      <c r="F129" s="9"/>
    </row>
    <row r="130" spans="2:6" ht="12.75">
      <c r="B130" s="9"/>
      <c r="C130" s="9"/>
      <c r="D130" s="9"/>
      <c r="E130" s="9"/>
      <c r="F130" s="9"/>
    </row>
    <row r="131" spans="2:6" ht="12.75">
      <c r="B131" s="9"/>
      <c r="C131" s="9"/>
      <c r="D131" s="9"/>
      <c r="E131" s="9"/>
      <c r="F131" s="9"/>
    </row>
    <row r="132" spans="2:6" ht="12.75">
      <c r="B132" s="9"/>
      <c r="C132" s="9"/>
      <c r="D132" s="9"/>
      <c r="E132" s="9"/>
      <c r="F132" s="9"/>
    </row>
    <row r="133" spans="2:6" ht="12.75">
      <c r="B133" s="9"/>
      <c r="C133" s="9"/>
      <c r="D133" s="9"/>
      <c r="E133" s="9"/>
      <c r="F133" s="9"/>
    </row>
    <row r="134" spans="2:6" ht="12.75">
      <c r="B134" s="9"/>
      <c r="C134" s="9"/>
      <c r="D134" s="9"/>
      <c r="E134" s="9"/>
      <c r="F134" s="9"/>
    </row>
    <row r="135" spans="2:6" ht="12.75">
      <c r="B135" s="9"/>
      <c r="C135" s="9"/>
      <c r="D135" s="9"/>
      <c r="E135" s="9"/>
      <c r="F135" s="9"/>
    </row>
    <row r="136" spans="2:6" ht="12.75">
      <c r="B136" s="9"/>
      <c r="C136" s="9"/>
      <c r="D136" s="9"/>
      <c r="E136" s="9"/>
      <c r="F136" s="9"/>
    </row>
    <row r="137" spans="2:6" ht="12.75">
      <c r="B137" s="9"/>
      <c r="C137" s="9"/>
      <c r="D137" s="9"/>
      <c r="E137" s="9"/>
      <c r="F137" s="9"/>
    </row>
    <row r="138" spans="2:6" ht="12.75">
      <c r="B138" s="9"/>
      <c r="C138" s="9"/>
      <c r="D138" s="9"/>
      <c r="E138" s="9"/>
      <c r="F138" s="9"/>
    </row>
    <row r="139" spans="2:6" ht="12.75">
      <c r="B139" s="9"/>
      <c r="C139" s="9"/>
      <c r="D139" s="9"/>
      <c r="E139" s="9"/>
      <c r="F139" s="9"/>
    </row>
    <row r="140" spans="2:6" ht="12.75">
      <c r="B140" s="9"/>
      <c r="C140" s="9"/>
      <c r="D140" s="9"/>
      <c r="E140" s="9"/>
      <c r="F140" s="9"/>
    </row>
    <row r="141" spans="2:6" ht="12.75">
      <c r="B141" s="9"/>
      <c r="C141" s="9"/>
      <c r="D141" s="9"/>
      <c r="E141" s="9"/>
      <c r="F141" s="9"/>
    </row>
    <row r="142" spans="2:6" ht="12.75">
      <c r="B142" s="9"/>
      <c r="C142" s="9"/>
      <c r="D142" s="9"/>
      <c r="E142" s="9"/>
      <c r="F142" s="9"/>
    </row>
    <row r="143" spans="2:6" ht="12.75">
      <c r="B143" s="9"/>
      <c r="C143" s="9"/>
      <c r="D143" s="9"/>
      <c r="E143" s="9"/>
      <c r="F143" s="9"/>
    </row>
    <row r="144" spans="2:6" ht="12.75">
      <c r="B144" s="9"/>
      <c r="C144" s="9"/>
      <c r="D144" s="9"/>
      <c r="E144" s="9"/>
      <c r="F144" s="9"/>
    </row>
    <row r="145" spans="2:6" ht="12.75">
      <c r="B145" s="9"/>
      <c r="C145" s="9"/>
      <c r="D145" s="9"/>
      <c r="E145" s="9"/>
      <c r="F145" s="9"/>
    </row>
    <row r="146" spans="2:6" ht="12.75">
      <c r="B146" s="9"/>
      <c r="C146" s="9"/>
      <c r="D146" s="9"/>
      <c r="E146" s="9"/>
      <c r="F146" s="9"/>
    </row>
    <row r="147" spans="2:6" ht="12.75">
      <c r="B147" s="9"/>
      <c r="C147" s="9"/>
      <c r="D147" s="9"/>
      <c r="E147" s="9"/>
      <c r="F147" s="9"/>
    </row>
    <row r="148" spans="2:6" ht="12.75">
      <c r="B148" s="9"/>
      <c r="C148" s="9"/>
      <c r="D148" s="9"/>
      <c r="E148" s="9"/>
      <c r="F148" s="9"/>
    </row>
    <row r="149" spans="2:6" ht="12.75">
      <c r="B149" s="9"/>
      <c r="C149" s="9"/>
      <c r="D149" s="9"/>
      <c r="E149" s="9"/>
      <c r="F149" s="9"/>
    </row>
    <row r="150" spans="2:6" ht="12.75">
      <c r="B150" s="9"/>
      <c r="C150" s="9"/>
      <c r="D150" s="9"/>
      <c r="E150" s="9"/>
      <c r="F150" s="9"/>
    </row>
    <row r="151" spans="2:6" ht="12.75">
      <c r="B151" s="9"/>
      <c r="C151" s="9"/>
      <c r="D151" s="9"/>
      <c r="E151" s="9"/>
      <c r="F151" s="9"/>
    </row>
    <row r="152" spans="2:6" ht="12.75">
      <c r="B152" s="9"/>
      <c r="C152" s="9"/>
      <c r="D152" s="9"/>
      <c r="E152" s="9"/>
      <c r="F152" s="9"/>
    </row>
    <row r="153" spans="2:6" ht="12.75">
      <c r="B153" s="9"/>
      <c r="C153" s="9"/>
      <c r="D153" s="9"/>
      <c r="E153" s="9"/>
      <c r="F153" s="9"/>
    </row>
    <row r="154" spans="2:6" ht="12.75">
      <c r="B154" s="9"/>
      <c r="C154" s="9"/>
      <c r="D154" s="9"/>
      <c r="E154" s="9"/>
      <c r="F154" s="9"/>
    </row>
    <row r="155" spans="2:6" ht="12.75">
      <c r="B155" s="9"/>
      <c r="C155" s="9"/>
      <c r="D155" s="9"/>
      <c r="E155" s="9"/>
      <c r="F155" s="9"/>
    </row>
    <row r="156" spans="2:6" ht="12.75">
      <c r="B156" s="9"/>
      <c r="C156" s="9"/>
      <c r="D156" s="9"/>
      <c r="E156" s="9"/>
      <c r="F156" s="9"/>
    </row>
    <row r="157" spans="2:6" ht="12.75">
      <c r="B157" s="9"/>
      <c r="C157" s="9"/>
      <c r="D157" s="9"/>
      <c r="E157" s="9"/>
      <c r="F157" s="9"/>
    </row>
    <row r="158" spans="2:6" ht="12.75">
      <c r="B158" s="9"/>
      <c r="C158" s="9"/>
      <c r="D158" s="9"/>
      <c r="E158" s="9"/>
      <c r="F158" s="9"/>
    </row>
    <row r="159" spans="2:6" ht="12.75">
      <c r="B159" s="9"/>
      <c r="C159" s="9"/>
      <c r="D159" s="9"/>
      <c r="E159" s="9"/>
      <c r="F159" s="9"/>
    </row>
    <row r="160" spans="2:6" ht="12.75">
      <c r="B160" s="9"/>
      <c r="C160" s="9"/>
      <c r="D160" s="9"/>
      <c r="E160" s="9"/>
      <c r="F160" s="9"/>
    </row>
    <row r="161" spans="2:6" ht="12.75">
      <c r="B161" s="9"/>
      <c r="C161" s="9"/>
      <c r="D161" s="9"/>
      <c r="E161" s="9"/>
      <c r="F161" s="9"/>
    </row>
    <row r="162" spans="2:6" ht="12.75">
      <c r="B162" s="9"/>
      <c r="C162" s="9"/>
      <c r="D162" s="9"/>
      <c r="E162" s="9"/>
      <c r="F162" s="9"/>
    </row>
    <row r="163" spans="2:6" ht="12.75">
      <c r="B163" s="9"/>
      <c r="C163" s="9"/>
      <c r="D163" s="9"/>
      <c r="E163" s="9"/>
      <c r="F163" s="9"/>
    </row>
    <row r="164" spans="2:6" ht="12.75">
      <c r="B164" s="9"/>
      <c r="C164" s="9"/>
      <c r="D164" s="9"/>
      <c r="E164" s="9"/>
      <c r="F164" s="9"/>
    </row>
    <row r="165" spans="2:6" ht="12.75">
      <c r="B165" s="9"/>
      <c r="C165" s="9"/>
      <c r="D165" s="9"/>
      <c r="E165" s="9"/>
      <c r="F165" s="9"/>
    </row>
    <row r="166" spans="2:6" ht="12.75">
      <c r="B166" s="9"/>
      <c r="C166" s="9"/>
      <c r="D166" s="9"/>
      <c r="E166" s="9"/>
      <c r="F166" s="9"/>
    </row>
    <row r="167" spans="2:6" ht="12.75">
      <c r="B167" s="9"/>
      <c r="C167" s="9"/>
      <c r="D167" s="9"/>
      <c r="E167" s="9"/>
      <c r="F167" s="9"/>
    </row>
    <row r="168" spans="2:6" ht="12.75">
      <c r="B168" s="9"/>
      <c r="C168" s="9"/>
      <c r="D168" s="9"/>
      <c r="E168" s="9"/>
      <c r="F168" s="9"/>
    </row>
    <row r="169" spans="2:6" ht="12.75">
      <c r="B169" s="9"/>
      <c r="C169" s="9"/>
      <c r="D169" s="9"/>
      <c r="E169" s="9"/>
      <c r="F169" s="9"/>
    </row>
    <row r="170" spans="2:6" ht="12.75">
      <c r="B170" s="9"/>
      <c r="C170" s="9"/>
      <c r="D170" s="9"/>
      <c r="E170" s="9"/>
      <c r="F170" s="9"/>
    </row>
    <row r="171" spans="2:6" ht="12.75">
      <c r="B171" s="9"/>
      <c r="C171" s="9"/>
      <c r="D171" s="9"/>
      <c r="E171" s="9"/>
      <c r="F171" s="9"/>
    </row>
    <row r="172" spans="2:6" ht="12.75">
      <c r="B172" s="9"/>
      <c r="C172" s="9"/>
      <c r="D172" s="9"/>
      <c r="E172" s="9"/>
      <c r="F172" s="9"/>
    </row>
    <row r="173" spans="2:6" ht="12.75">
      <c r="B173" s="9"/>
      <c r="C173" s="9"/>
      <c r="D173" s="9"/>
      <c r="E173" s="9"/>
      <c r="F173" s="9"/>
    </row>
    <row r="174" spans="2:6" ht="12.75">
      <c r="B174" s="9"/>
      <c r="C174" s="9"/>
      <c r="D174" s="9"/>
      <c r="E174" s="9"/>
      <c r="F174" s="9"/>
    </row>
    <row r="175" spans="2:6" ht="12.75">
      <c r="B175" s="9"/>
      <c r="C175" s="9"/>
      <c r="D175" s="9"/>
      <c r="E175" s="9"/>
      <c r="F175" s="9"/>
    </row>
    <row r="176" spans="2:6" ht="12.75">
      <c r="B176" s="9"/>
      <c r="C176" s="9"/>
      <c r="D176" s="9"/>
      <c r="E176" s="9"/>
      <c r="F176" s="9"/>
    </row>
    <row r="177" spans="2:6" ht="12.75">
      <c r="B177" s="9"/>
      <c r="C177" s="9"/>
      <c r="D177" s="9"/>
      <c r="E177" s="9"/>
      <c r="F177" s="9"/>
    </row>
    <row r="178" spans="2:6" ht="12.75">
      <c r="B178" s="9"/>
      <c r="C178" s="9"/>
      <c r="D178" s="9"/>
      <c r="E178" s="9"/>
      <c r="F178" s="9"/>
    </row>
    <row r="179" spans="2:6" ht="12.75">
      <c r="B179" s="9"/>
      <c r="C179" s="9"/>
      <c r="D179" s="9"/>
      <c r="E179" s="9"/>
      <c r="F179" s="9"/>
    </row>
    <row r="180" spans="2:6" ht="12.75">
      <c r="B180" s="9"/>
      <c r="C180" s="9"/>
      <c r="D180" s="9"/>
      <c r="E180" s="9"/>
      <c r="F180" s="9"/>
    </row>
    <row r="181" spans="2:6" ht="12.75">
      <c r="B181" s="9"/>
      <c r="C181" s="9"/>
      <c r="D181" s="9"/>
      <c r="E181" s="9"/>
      <c r="F181" s="9"/>
    </row>
    <row r="182" spans="2:6" ht="12.75">
      <c r="B182" s="9"/>
      <c r="C182" s="9"/>
      <c r="D182" s="9"/>
      <c r="E182" s="9"/>
      <c r="F182" s="9"/>
    </row>
    <row r="183" spans="2:6" ht="12.75">
      <c r="B183" s="9"/>
      <c r="C183" s="9"/>
      <c r="D183" s="9"/>
      <c r="E183" s="9"/>
      <c r="F183" s="9"/>
    </row>
    <row r="184" spans="2:6" ht="12.75">
      <c r="B184" s="9"/>
      <c r="C184" s="9"/>
      <c r="D184" s="9"/>
      <c r="E184" s="9"/>
      <c r="F184" s="9"/>
    </row>
    <row r="185" spans="2:6" ht="12.75">
      <c r="B185" s="9"/>
      <c r="C185" s="9"/>
      <c r="D185" s="9"/>
      <c r="E185" s="9"/>
      <c r="F185" s="9"/>
    </row>
    <row r="186" spans="2:6" ht="12.75">
      <c r="B186" s="9"/>
      <c r="C186" s="9"/>
      <c r="D186" s="9"/>
      <c r="E186" s="9"/>
      <c r="F186" s="9"/>
    </row>
    <row r="187" spans="2:6" ht="12.75">
      <c r="B187" s="9"/>
      <c r="C187" s="9"/>
      <c r="D187" s="9"/>
      <c r="E187" s="9"/>
      <c r="F187" s="9"/>
    </row>
    <row r="188" spans="2:6" ht="12.75">
      <c r="B188" s="9"/>
      <c r="C188" s="9"/>
      <c r="D188" s="9"/>
      <c r="E188" s="9"/>
      <c r="F188" s="9"/>
    </row>
    <row r="189" spans="2:6" ht="12.75">
      <c r="B189" s="9"/>
      <c r="C189" s="9"/>
      <c r="D189" s="9"/>
      <c r="E189" s="9"/>
      <c r="F189" s="9"/>
    </row>
    <row r="190" spans="2:6" ht="12.75">
      <c r="B190" s="9"/>
      <c r="C190" s="9"/>
      <c r="D190" s="9"/>
      <c r="E190" s="9"/>
      <c r="F190" s="9"/>
    </row>
    <row r="191" spans="2:6" ht="12.75">
      <c r="B191" s="9"/>
      <c r="C191" s="9"/>
      <c r="D191" s="9"/>
      <c r="E191" s="9"/>
      <c r="F191" s="9"/>
    </row>
    <row r="192" spans="2:6" ht="12.75">
      <c r="B192" s="9"/>
      <c r="C192" s="9"/>
      <c r="D192" s="9"/>
      <c r="E192" s="9"/>
      <c r="F192" s="9"/>
    </row>
    <row r="193" spans="2:6" ht="12.75">
      <c r="B193" s="9"/>
      <c r="C193" s="9"/>
      <c r="D193" s="9"/>
      <c r="E193" s="9"/>
      <c r="F193" s="9"/>
    </row>
    <row r="194" spans="2:6" ht="12.75">
      <c r="B194" s="9"/>
      <c r="C194" s="9"/>
      <c r="D194" s="9"/>
      <c r="E194" s="9"/>
      <c r="F194" s="9"/>
    </row>
    <row r="195" spans="2:6" ht="12.75">
      <c r="B195" s="9"/>
      <c r="C195" s="9"/>
      <c r="D195" s="9"/>
      <c r="E195" s="9"/>
      <c r="F195" s="9"/>
    </row>
    <row r="196" spans="2:6" ht="12.75">
      <c r="B196" s="9"/>
      <c r="C196" s="9"/>
      <c r="D196" s="9"/>
      <c r="E196" s="9"/>
      <c r="F196" s="9"/>
    </row>
    <row r="197" spans="2:6" ht="12.75">
      <c r="B197" s="9"/>
      <c r="C197" s="9"/>
      <c r="D197" s="9"/>
      <c r="E197" s="9"/>
      <c r="F197" s="9"/>
    </row>
    <row r="198" spans="2:6" ht="12.75">
      <c r="B198" s="9"/>
      <c r="C198" s="9"/>
      <c r="D198" s="9"/>
      <c r="E198" s="9"/>
      <c r="F198" s="9"/>
    </row>
    <row r="199" spans="2:6" ht="12.75">
      <c r="B199" s="9"/>
      <c r="C199" s="9"/>
      <c r="D199" s="9"/>
      <c r="E199" s="9"/>
      <c r="F199" s="9"/>
    </row>
    <row r="200" spans="2:6" ht="12.75">
      <c r="B200" s="9"/>
      <c r="C200" s="9"/>
      <c r="D200" s="9"/>
      <c r="E200" s="9"/>
      <c r="F200" s="9"/>
    </row>
    <row r="201" spans="2:6" ht="12.75">
      <c r="B201" s="9"/>
      <c r="C201" s="9"/>
      <c r="D201" s="9"/>
      <c r="E201" s="9"/>
      <c r="F201" s="9"/>
    </row>
    <row r="202" spans="2:6" ht="12.75">
      <c r="B202" s="9"/>
      <c r="C202" s="9"/>
      <c r="D202" s="9"/>
      <c r="E202" s="9"/>
      <c r="F202" s="9"/>
    </row>
    <row r="203" spans="2:6" ht="12.75">
      <c r="B203" s="9"/>
      <c r="C203" s="9"/>
      <c r="D203" s="9"/>
      <c r="E203" s="9"/>
      <c r="F203" s="9"/>
    </row>
    <row r="204" spans="2:6" ht="12.75">
      <c r="B204" s="9"/>
      <c r="C204" s="9"/>
      <c r="D204" s="9"/>
      <c r="E204" s="9"/>
      <c r="F204" s="9"/>
    </row>
    <row r="205" spans="2:6" ht="12.75">
      <c r="B205" s="9"/>
      <c r="C205" s="9"/>
      <c r="D205" s="9"/>
      <c r="E205" s="9"/>
      <c r="F205" s="9"/>
    </row>
    <row r="206" spans="2:6" ht="12.75">
      <c r="B206" s="9"/>
      <c r="C206" s="9"/>
      <c r="D206" s="9"/>
      <c r="E206" s="9"/>
      <c r="F206" s="9"/>
    </row>
    <row r="207" spans="2:6" ht="12.75">
      <c r="B207" s="9"/>
      <c r="C207" s="9"/>
      <c r="D207" s="9"/>
      <c r="E207" s="9"/>
      <c r="F207" s="9"/>
    </row>
    <row r="208" spans="2:6" ht="12.75">
      <c r="B208" s="9"/>
      <c r="C208" s="9"/>
      <c r="D208" s="9"/>
      <c r="E208" s="9"/>
      <c r="F208" s="9"/>
    </row>
    <row r="209" spans="2:6" ht="12.75">
      <c r="B209" s="9"/>
      <c r="C209" s="9"/>
      <c r="D209" s="9"/>
      <c r="E209" s="9"/>
      <c r="F209" s="9"/>
    </row>
    <row r="210" spans="2:6" ht="12.75">
      <c r="B210" s="9"/>
      <c r="C210" s="9"/>
      <c r="D210" s="9"/>
      <c r="E210" s="9"/>
      <c r="F210" s="9"/>
    </row>
    <row r="211" spans="2:6" ht="12.75">
      <c r="B211" s="9"/>
      <c r="C211" s="9"/>
      <c r="D211" s="9"/>
      <c r="E211" s="9"/>
      <c r="F211" s="9"/>
    </row>
    <row r="212" spans="2:6" ht="12.75">
      <c r="B212" s="9"/>
      <c r="C212" s="9"/>
      <c r="D212" s="9"/>
      <c r="E212" s="9"/>
      <c r="F212" s="9"/>
    </row>
    <row r="213" spans="2:6" ht="12.75">
      <c r="B213" s="9"/>
      <c r="C213" s="9"/>
      <c r="D213" s="9"/>
      <c r="E213" s="9"/>
      <c r="F213" s="9"/>
    </row>
    <row r="214" spans="2:6" ht="12.75">
      <c r="B214" s="9"/>
      <c r="C214" s="9"/>
      <c r="D214" s="9"/>
      <c r="E214" s="9"/>
      <c r="F214" s="9"/>
    </row>
    <row r="215" spans="2:6" ht="12.75">
      <c r="B215" s="9"/>
      <c r="C215" s="9"/>
      <c r="D215" s="9"/>
      <c r="E215" s="9"/>
      <c r="F215" s="9"/>
    </row>
    <row r="216" spans="2:6" ht="12.75">
      <c r="B216" s="9"/>
      <c r="C216" s="9"/>
      <c r="D216" s="9"/>
      <c r="E216" s="9"/>
      <c r="F216" s="9"/>
    </row>
    <row r="217" spans="2:6" ht="12.75">
      <c r="B217" s="9"/>
      <c r="C217" s="9"/>
      <c r="D217" s="9"/>
      <c r="E217" s="9"/>
      <c r="F217" s="9"/>
    </row>
    <row r="218" spans="2:6" ht="12.75">
      <c r="B218" s="9"/>
      <c r="C218" s="9"/>
      <c r="D218" s="9"/>
      <c r="E218" s="9"/>
      <c r="F218" s="9"/>
    </row>
    <row r="219" spans="2:6" ht="12.75">
      <c r="B219" s="9"/>
      <c r="C219" s="9"/>
      <c r="D219" s="9"/>
      <c r="E219" s="9"/>
      <c r="F219" s="9"/>
    </row>
    <row r="220" spans="2:6" ht="12.75">
      <c r="B220" s="9"/>
      <c r="C220" s="9"/>
      <c r="D220" s="9"/>
      <c r="E220" s="9"/>
      <c r="F220" s="9"/>
    </row>
  </sheetData>
  <sheetProtection/>
  <printOptions/>
  <pageMargins left="0.33" right="0.28" top="0.48" bottom="0.41" header="0.21" footer="0.25"/>
  <pageSetup horizontalDpi="600" verticalDpi="600" orientation="landscape" paperSize="9" scale="65" r:id="rId1"/>
  <rowBreaks count="1" manualBreakCount="1">
    <brk id="3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1" sqref="B1:G1"/>
    </sheetView>
  </sheetViews>
  <sheetFormatPr defaultColWidth="9.00390625" defaultRowHeight="12.75"/>
  <cols>
    <col min="1" max="1" width="7.375" style="0" customWidth="1"/>
    <col min="2" max="2" width="69.875" style="0" customWidth="1"/>
    <col min="3" max="4" width="19.25390625" style="0" customWidth="1"/>
    <col min="5" max="6" width="18.625" style="0" customWidth="1"/>
    <col min="7" max="7" width="21.625" style="0" customWidth="1"/>
  </cols>
  <sheetData>
    <row r="1" spans="2:8" ht="52.5" customHeight="1">
      <c r="B1" s="86" t="s">
        <v>144</v>
      </c>
      <c r="C1" s="45"/>
      <c r="D1" s="45"/>
      <c r="E1" s="45"/>
      <c r="F1" s="45"/>
      <c r="G1" s="45"/>
      <c r="H1" s="12"/>
    </row>
    <row r="2" spans="1:7" ht="127.5">
      <c r="A2" s="52" t="s">
        <v>110</v>
      </c>
      <c r="B2" s="65" t="s">
        <v>44</v>
      </c>
      <c r="C2" s="65" t="s">
        <v>46</v>
      </c>
      <c r="D2" s="65" t="s">
        <v>115</v>
      </c>
      <c r="E2" s="65" t="s">
        <v>47</v>
      </c>
      <c r="F2" s="65" t="s">
        <v>116</v>
      </c>
      <c r="G2" s="65" t="s">
        <v>48</v>
      </c>
    </row>
    <row r="3" spans="1:7" ht="31.5">
      <c r="A3" s="52">
        <v>1</v>
      </c>
      <c r="B3" s="3" t="s">
        <v>38</v>
      </c>
      <c r="C3" s="13">
        <v>43</v>
      </c>
      <c r="D3" s="28">
        <f>$C$7</f>
        <v>111</v>
      </c>
      <c r="E3" s="13">
        <v>3</v>
      </c>
      <c r="F3" s="28">
        <f>$E$7</f>
        <v>5</v>
      </c>
      <c r="G3" s="15">
        <f>C3/D3+E3/F3</f>
        <v>0.9873873873873873</v>
      </c>
    </row>
    <row r="4" spans="1:7" ht="15.75">
      <c r="A4" s="52">
        <v>2</v>
      </c>
      <c r="B4" s="3" t="s">
        <v>37</v>
      </c>
      <c r="C4" s="28">
        <v>41</v>
      </c>
      <c r="D4" s="28">
        <f>$C$7</f>
        <v>111</v>
      </c>
      <c r="E4" s="13">
        <v>2</v>
      </c>
      <c r="F4" s="28">
        <f>$E$7</f>
        <v>5</v>
      </c>
      <c r="G4" s="15">
        <f>C4/D4+E4/F4</f>
        <v>0.7693693693693694</v>
      </c>
    </row>
    <row r="5" spans="1:7" ht="17.25" customHeight="1">
      <c r="A5" s="52">
        <v>3</v>
      </c>
      <c r="B5" s="3" t="s">
        <v>39</v>
      </c>
      <c r="C5" s="13">
        <v>17</v>
      </c>
      <c r="D5" s="28">
        <f>$C$7</f>
        <v>111</v>
      </c>
      <c r="E5" s="13">
        <v>0</v>
      </c>
      <c r="F5" s="28">
        <f>$E$7</f>
        <v>5</v>
      </c>
      <c r="G5" s="15">
        <f>C5/D5+E5/F5</f>
        <v>0.15315315315315314</v>
      </c>
    </row>
    <row r="6" spans="1:7" ht="15" customHeight="1">
      <c r="A6" s="52">
        <v>4</v>
      </c>
      <c r="B6" s="3" t="s">
        <v>36</v>
      </c>
      <c r="C6" s="28">
        <v>10</v>
      </c>
      <c r="D6" s="28">
        <f>$C$7</f>
        <v>111</v>
      </c>
      <c r="E6" s="13">
        <v>0</v>
      </c>
      <c r="F6" s="28">
        <f>$E$7</f>
        <v>5</v>
      </c>
      <c r="G6" s="15">
        <f>C6/D6+E6/F6</f>
        <v>0.09009009009009009</v>
      </c>
    </row>
    <row r="7" spans="2:7" ht="15.75">
      <c r="B7" s="59" t="s">
        <v>45</v>
      </c>
      <c r="C7" s="37">
        <f>SUM(C3:C6)</f>
        <v>111</v>
      </c>
      <c r="D7" s="37"/>
      <c r="E7" s="37">
        <f>SUM(E3:E6)</f>
        <v>5</v>
      </c>
      <c r="F7" s="18"/>
      <c r="G7" s="17"/>
    </row>
    <row r="8" spans="3:4" ht="12.75">
      <c r="C8" s="16"/>
      <c r="D8" s="16"/>
    </row>
    <row r="9" ht="15.75" customHeight="1">
      <c r="B9" s="8"/>
    </row>
  </sheetData>
  <sheetProtection/>
  <printOptions/>
  <pageMargins left="0.35" right="0.12" top="0.68" bottom="1" header="0.5" footer="0.5"/>
  <pageSetup horizontalDpi="200" verticalDpi="2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zoomScaleSheetLayoutView="75" zoomScalePageLayoutView="0" workbookViewId="0" topLeftCell="A16">
      <selection activeCell="B1" sqref="B1:J1"/>
    </sheetView>
  </sheetViews>
  <sheetFormatPr defaultColWidth="9.00390625" defaultRowHeight="12.75"/>
  <cols>
    <col min="1" max="1" width="6.375" style="0" customWidth="1"/>
    <col min="2" max="2" width="52.00390625" style="0" customWidth="1"/>
    <col min="3" max="3" width="12.875" style="0" customWidth="1"/>
    <col min="4" max="4" width="12.25390625" style="0" customWidth="1"/>
    <col min="5" max="5" width="12.625" style="0" customWidth="1"/>
    <col min="6" max="6" width="12.375" style="0" customWidth="1"/>
    <col min="7" max="7" width="12.875" style="0" customWidth="1"/>
    <col min="8" max="8" width="13.125" style="0" customWidth="1"/>
    <col min="9" max="9" width="13.00390625" style="0" customWidth="1"/>
    <col min="10" max="10" width="15.875" style="0" customWidth="1"/>
    <col min="11" max="11" width="17.625" style="0" customWidth="1"/>
  </cols>
  <sheetData>
    <row r="1" spans="2:10" ht="20.25">
      <c r="B1" s="143" t="s">
        <v>155</v>
      </c>
      <c r="C1" s="143"/>
      <c r="D1" s="143"/>
      <c r="E1" s="143"/>
      <c r="F1" s="143"/>
      <c r="G1" s="143"/>
      <c r="H1" s="143"/>
      <c r="I1" s="143"/>
      <c r="J1" s="143"/>
    </row>
    <row r="2" spans="1:11" ht="115.5" customHeight="1">
      <c r="A2" s="52" t="s">
        <v>110</v>
      </c>
      <c r="B2" s="62" t="s">
        <v>0</v>
      </c>
      <c r="C2" s="123" t="s">
        <v>123</v>
      </c>
      <c r="D2" s="123" t="s">
        <v>124</v>
      </c>
      <c r="E2" s="123" t="s">
        <v>145</v>
      </c>
      <c r="F2" s="123" t="s">
        <v>146</v>
      </c>
      <c r="G2" s="123" t="s">
        <v>127</v>
      </c>
      <c r="H2" s="123" t="s">
        <v>147</v>
      </c>
      <c r="I2" s="123" t="s">
        <v>148</v>
      </c>
      <c r="J2" s="124" t="s">
        <v>109</v>
      </c>
      <c r="K2" s="61"/>
    </row>
    <row r="3" spans="1:11" ht="32.25" customHeight="1">
      <c r="A3" s="52">
        <v>1</v>
      </c>
      <c r="B3" s="1" t="s">
        <v>5</v>
      </c>
      <c r="C3" s="15">
        <f>'2.1.Вид дія'!E8</f>
        <v>0.8025247971145175</v>
      </c>
      <c r="D3" s="26">
        <f>'2.2. Інд.якості НПП'!J28</f>
        <v>0.7505747126436781</v>
      </c>
      <c r="E3" s="26">
        <f>'2.4. І як.наукової роботи'!K3</f>
        <v>1.50432741375791</v>
      </c>
      <c r="F3" s="26">
        <f>'2.5. І. між.ак.'!E7</f>
        <v>0.060240963855421686</v>
      </c>
      <c r="G3" s="26">
        <f>'2.6.-2.6.1. І фін.активність'!E29</f>
        <v>0.012164481830792329</v>
      </c>
      <c r="H3" s="26">
        <f>'2.6.2. І фін наук діяльності'!E4</f>
        <v>0.20788763885250267</v>
      </c>
      <c r="I3" s="26">
        <f>'2.7. І вебометричних показн.'!K13</f>
        <v>0.07657996110666394</v>
      </c>
      <c r="J3" s="64">
        <f aca="true" t="shared" si="0" ref="J3:J35">(0.2*C3)+(0.1*D3)+(0.2*E3)+(0.1*F3)+(0.1*(G3+H3)+0.05*I3)</f>
        <v>0.5682862199480582</v>
      </c>
      <c r="K3" s="61"/>
    </row>
    <row r="4" spans="1:11" ht="15.75" customHeight="1">
      <c r="A4" s="52">
        <v>2</v>
      </c>
      <c r="B4" s="1" t="s">
        <v>9</v>
      </c>
      <c r="C4" s="15">
        <f>'2.1.Вид дія'!E4</f>
        <v>1.2281334535617674</v>
      </c>
      <c r="D4" s="26">
        <f>'2.2. Інд.якості НПП'!J6</f>
        <v>1.5862068965517242</v>
      </c>
      <c r="E4" s="26">
        <f>'2.4. І як.наукової роботи'!K9</f>
        <v>0.7503776280873647</v>
      </c>
      <c r="F4" s="26">
        <f>'2.5. І. між.ак.'!E23</f>
        <v>0.018072289156626505</v>
      </c>
      <c r="G4" s="26">
        <f>'2.6.-2.6.1. І фін.активність'!E6</f>
        <v>0.0658094602329397</v>
      </c>
      <c r="H4" s="26">
        <v>0</v>
      </c>
      <c r="I4" s="26">
        <f>'2.7. І вебометричних показн.'!K24</f>
        <v>0.03687639372649222</v>
      </c>
      <c r="J4" s="64">
        <f t="shared" si="0"/>
        <v>0.5645549006102801</v>
      </c>
      <c r="K4" s="61"/>
    </row>
    <row r="5" spans="1:11" ht="23.25" customHeight="1">
      <c r="A5" s="52">
        <v>3</v>
      </c>
      <c r="B5" s="1" t="s">
        <v>14</v>
      </c>
      <c r="C5" s="15">
        <f>'2.1.Вид дія'!E10</f>
        <v>0.69</v>
      </c>
      <c r="D5" s="26">
        <f>'2.2. Інд.якості НПП'!J7</f>
        <v>1.530213464696223</v>
      </c>
      <c r="E5" s="26">
        <f>'2.4. І як.наукової роботи'!K5</f>
        <v>1.0039175969978174</v>
      </c>
      <c r="F5" s="26">
        <f>'2.5. І. між.ак.'!E3</f>
        <v>0.1144578313253012</v>
      </c>
      <c r="G5" s="26">
        <f>'2.6.-2.6.1. І фін.активність'!E4</f>
        <v>0.07916552041328825</v>
      </c>
      <c r="H5" s="26">
        <f>'2.6.2. І фін наук діяльності'!E3</f>
        <v>0.3087739543658349</v>
      </c>
      <c r="I5" s="26">
        <f>'2.7. І вебометричних показн.'!K6</f>
        <v>0.19302881222524396</v>
      </c>
      <c r="J5" s="64">
        <f t="shared" si="0"/>
        <v>0.5516960370908904</v>
      </c>
      <c r="K5" s="61"/>
    </row>
    <row r="6" spans="1:11" ht="31.5">
      <c r="A6" s="52">
        <v>4</v>
      </c>
      <c r="B6" s="1" t="s">
        <v>8</v>
      </c>
      <c r="C6" s="15">
        <f>'2.1.Вид дія'!E3</f>
        <v>1.2641649502702237</v>
      </c>
      <c r="D6" s="26">
        <f>'2.2. Інд.якості НПП'!J29</f>
        <v>0.7445141065830722</v>
      </c>
      <c r="E6" s="26">
        <v>0.63</v>
      </c>
      <c r="F6" s="26">
        <f>'2.5. І. між.ак.'!E12</f>
        <v>0.04216867469879518</v>
      </c>
      <c r="G6" s="26">
        <f>'2.6.-2.6.1. І фін.активність'!E25</f>
        <v>0.01742562090431327</v>
      </c>
      <c r="H6" s="26">
        <v>0</v>
      </c>
      <c r="I6" s="26">
        <f>'2.7. І вебометричних показн.'!K34</f>
        <v>0.013875668851121448</v>
      </c>
      <c r="J6" s="64">
        <f t="shared" si="0"/>
        <v>0.4599376137152189</v>
      </c>
      <c r="K6" s="61"/>
    </row>
    <row r="7" spans="1:11" ht="15.75">
      <c r="A7" s="52">
        <v>5</v>
      </c>
      <c r="B7" s="1" t="s">
        <v>21</v>
      </c>
      <c r="C7" s="15">
        <f>'2.1.Вид дія'!E7</f>
        <v>0.8847272236720063</v>
      </c>
      <c r="D7" s="26">
        <f>'2.2. Інд.якості НПП'!J5</f>
        <v>1.590185676392573</v>
      </c>
      <c r="E7" s="26">
        <f>'2.4. І як.наукової роботи'!K17</f>
        <v>0.5278141535949252</v>
      </c>
      <c r="F7" s="26">
        <f>'2.5. І. між.ак.'!E13</f>
        <v>0.04216867469879518</v>
      </c>
      <c r="G7" s="26">
        <f>'2.6.-2.6.1. І фін.активність'!E7</f>
        <v>0.06508267798890234</v>
      </c>
      <c r="H7" s="26">
        <v>0</v>
      </c>
      <c r="I7" s="26">
        <f>'2.7. І вебометричних показн.'!K9</f>
        <v>0.0968595575759424</v>
      </c>
      <c r="J7" s="64">
        <f t="shared" si="0"/>
        <v>0.4570949562402105</v>
      </c>
      <c r="K7" s="61"/>
    </row>
    <row r="8" spans="1:11" ht="15.75" customHeight="1">
      <c r="A8" s="52">
        <v>6</v>
      </c>
      <c r="B8" s="1" t="s">
        <v>11</v>
      </c>
      <c r="C8" s="15">
        <f>'2.1.Вид дія'!E5</f>
        <v>1.0522548317823908</v>
      </c>
      <c r="D8" s="26">
        <f>'2.2. Інд.якості НПП'!J11</f>
        <v>1.2846195949644226</v>
      </c>
      <c r="E8" s="26">
        <f>'2.4. І як.наукової роботи'!K20</f>
        <v>0.43457534504686984</v>
      </c>
      <c r="F8" s="26">
        <f>'2.5. І. між.ак.'!E11</f>
        <v>0.04216867469879518</v>
      </c>
      <c r="G8" s="26">
        <f>'2.6.-2.6.1. І фін.активність'!E11</f>
        <v>0.039621749305023005</v>
      </c>
      <c r="H8" s="26">
        <v>0</v>
      </c>
      <c r="I8" s="26">
        <f>'2.7. І вебометричних показн.'!K7</f>
        <v>0.1816660101127403</v>
      </c>
      <c r="J8" s="64">
        <f t="shared" si="0"/>
        <v>0.44309033776831325</v>
      </c>
      <c r="K8" s="61"/>
    </row>
    <row r="9" spans="1:11" ht="31.5">
      <c r="A9" s="52">
        <v>7</v>
      </c>
      <c r="B9" s="1" t="s">
        <v>4</v>
      </c>
      <c r="C9" s="15">
        <f>'2.1.Вид дія'!E21</f>
        <v>0.3211226330027051</v>
      </c>
      <c r="D9" s="26">
        <f>'2.2. Інд.якості НПП'!J10</f>
        <v>1.3421750663129974</v>
      </c>
      <c r="E9" s="26">
        <f>'2.4. І як.наукової роботи'!K4</f>
        <v>1.0684723726977248</v>
      </c>
      <c r="F9" s="26">
        <f>'2.5. І. між.ак.'!E21</f>
        <v>0.024096385542168676</v>
      </c>
      <c r="G9" s="26">
        <f>'2.6.-2.6.1. І фін.активність'!E12</f>
        <v>0.037930454329774654</v>
      </c>
      <c r="H9" s="26">
        <v>0</v>
      </c>
      <c r="I9" s="26">
        <f>'2.7. І вебометричних показн.'!K26</f>
        <v>0.03449466933223392</v>
      </c>
      <c r="J9" s="64">
        <f t="shared" si="0"/>
        <v>0.4200639252251918</v>
      </c>
      <c r="K9" s="61"/>
    </row>
    <row r="10" spans="1:11" ht="15.75" customHeight="1">
      <c r="A10" s="52">
        <v>8</v>
      </c>
      <c r="B10" s="1" t="s">
        <v>20</v>
      </c>
      <c r="C10" s="15">
        <f>'2.1.Вид дія'!E20</f>
        <v>0.32709648331830476</v>
      </c>
      <c r="D10" s="26">
        <f>'2.2. Інд.якості НПП'!J4</f>
        <v>1.59717868338558</v>
      </c>
      <c r="E10" s="26">
        <f>'2.4. І як.наукової роботи'!K8</f>
        <v>0.764631714478622</v>
      </c>
      <c r="F10" s="26">
        <f>'2.5. І. між.ак.'!E8</f>
        <v>0.04819277108433735</v>
      </c>
      <c r="G10" s="26">
        <f>'2.6.-2.6.1. І фін.активність'!E13</f>
        <v>0.03424513186285771</v>
      </c>
      <c r="H10" s="26">
        <v>0</v>
      </c>
      <c r="I10" s="26">
        <f>'2.7. І вебометричних показн.'!K33</f>
        <v>0.014616773152782498</v>
      </c>
      <c r="J10" s="64">
        <f t="shared" si="0"/>
        <v>0.38703813685030203</v>
      </c>
      <c r="K10" s="61"/>
    </row>
    <row r="11" spans="1:11" ht="15.75">
      <c r="A11" s="52">
        <v>9</v>
      </c>
      <c r="B11" s="1" t="s">
        <v>27</v>
      </c>
      <c r="C11" s="15">
        <f>'2.1.Вид дія'!E22</f>
        <v>0.3</v>
      </c>
      <c r="D11" s="26">
        <f>'2.2. Інд.якості НПП'!J14</f>
        <v>1.2345812807881773</v>
      </c>
      <c r="E11" s="26">
        <f>'2.4. І як.наукової роботи'!K6</f>
        <v>0.9003281674439053</v>
      </c>
      <c r="F11" s="26">
        <f>'2.5. І. між.ак.'!E24</f>
        <v>0.012048192771084338</v>
      </c>
      <c r="G11" s="26">
        <f>'2.6.-2.6.1. І фін.активність'!E8</f>
        <v>0.050555399663124334</v>
      </c>
      <c r="H11" s="26">
        <v>0</v>
      </c>
      <c r="I11" s="26">
        <f>'2.7. І вебометричних показн.'!K3</f>
        <v>0.25716525332150797</v>
      </c>
      <c r="J11" s="64">
        <f t="shared" si="0"/>
        <v>0.38264238347709506</v>
      </c>
      <c r="K11" s="61"/>
    </row>
    <row r="12" spans="1:11" ht="15.75">
      <c r="A12" s="141">
        <v>10</v>
      </c>
      <c r="B12" s="142" t="s">
        <v>17</v>
      </c>
      <c r="C12" s="15">
        <f>'2.1.Вид дія'!E14</f>
        <v>0.4484241156981371</v>
      </c>
      <c r="D12" s="26">
        <f>'2.2. Інд.якості НПП'!J8</f>
        <v>1.3922413793103448</v>
      </c>
      <c r="E12" s="26">
        <f>'2.4. І як.наукової роботи'!K10</f>
        <v>0.7345863363009719</v>
      </c>
      <c r="F12" s="26">
        <f>'2.5. І. між.ак.'!E25</f>
        <v>0.012048192771084338</v>
      </c>
      <c r="G12" s="26">
        <f>'2.6.-2.6.1. І фін.активність'!E27</f>
        <v>0.014088668282114398</v>
      </c>
      <c r="H12" s="26">
        <v>0</v>
      </c>
      <c r="I12" s="26">
        <f>'2.7. І вебометричних показн.'!K14</f>
        <v>0.06421222081953763</v>
      </c>
      <c r="J12" s="64">
        <f t="shared" si="0"/>
        <v>0.381650525477153</v>
      </c>
      <c r="K12" s="61"/>
    </row>
    <row r="13" spans="1:11" ht="21" customHeight="1">
      <c r="A13" s="52">
        <v>11</v>
      </c>
      <c r="B13" s="1" t="s">
        <v>15</v>
      </c>
      <c r="C13" s="15">
        <f>'2.1.Вид дія'!E11</f>
        <v>0.5133054342262467</v>
      </c>
      <c r="D13" s="26">
        <f>'2.2. Інд.якості НПП'!J23</f>
        <v>0.9898399014778324</v>
      </c>
      <c r="E13" s="26">
        <f>'2.4. І як.наукової роботи'!K11</f>
        <v>0.7192409753952926</v>
      </c>
      <c r="F13" s="26">
        <f>'2.5. І. між.ак.'!E10</f>
        <v>0.04819277108433735</v>
      </c>
      <c r="G13" s="26">
        <f>'2.6.-2.6.1. І фін.активність'!E5</f>
        <v>0.0666100612017608</v>
      </c>
      <c r="H13" s="26">
        <f>'2.6.2. І фін наук діяльності'!E5</f>
        <v>0.19498269547536798</v>
      </c>
      <c r="I13" s="26">
        <f>'2.7. І вебометричних показн.'!K22</f>
        <v>0.041435759037429354</v>
      </c>
      <c r="J13" s="64">
        <f t="shared" si="0"/>
        <v>0.3785436128001092</v>
      </c>
      <c r="K13" s="61"/>
    </row>
    <row r="14" spans="1:11" ht="31.5">
      <c r="A14" s="52">
        <v>12</v>
      </c>
      <c r="B14" s="1" t="s">
        <v>26</v>
      </c>
      <c r="C14" s="15">
        <f>'2.1.Вид дія'!E6</f>
        <v>1.04</v>
      </c>
      <c r="D14" s="26">
        <f>'2.2. Інд.якості НПП'!J27</f>
        <v>0.8172413793103449</v>
      </c>
      <c r="E14" s="26">
        <f>'2.4. І як.наукової роботи'!K28</f>
        <v>0.3231413004223782</v>
      </c>
      <c r="F14" s="26">
        <f>'2.5. І. між.ак.'!E28</f>
        <v>0.006024096385542169</v>
      </c>
      <c r="G14" s="26">
        <f>'2.6.-2.6.1. І фін.активність'!E32</f>
        <v>0.009350315538366323</v>
      </c>
      <c r="H14" s="26">
        <f>'2.6.2. І фін наук діяльності'!E7</f>
        <v>0.07071008124234784</v>
      </c>
      <c r="I14" s="26">
        <f>'2.7. І вебометричних показн.'!K29</f>
        <v>0.026145808035942984</v>
      </c>
      <c r="J14" s="64">
        <f t="shared" si="0"/>
        <v>0.36426813773393296</v>
      </c>
      <c r="K14" s="61"/>
    </row>
    <row r="15" spans="1:11" ht="31.5">
      <c r="A15" s="52">
        <v>13</v>
      </c>
      <c r="B15" s="1" t="s">
        <v>28</v>
      </c>
      <c r="C15" s="15">
        <f>'2.1.Вид дія'!E17</f>
        <v>0.36</v>
      </c>
      <c r="D15" s="26">
        <f>'2.2. Інд.якості НПП'!J22</f>
        <v>1</v>
      </c>
      <c r="E15" s="26">
        <f>'2.4. І як.наукової роботи'!K7</f>
        <v>0.821282208299967</v>
      </c>
      <c r="F15" s="26">
        <f>'2.5. І. між.ак.'!E31</f>
        <v>0</v>
      </c>
      <c r="G15" s="26">
        <f>'2.6.-2.6.1. І фін.активність'!E14</f>
        <v>0.03391806578614815</v>
      </c>
      <c r="H15" s="26">
        <f>'2.6.2. І фін наук діяльності'!E6</f>
        <v>0.07622546757925097</v>
      </c>
      <c r="I15" s="26">
        <f>'2.7. І вебометричних показн.'!K27</f>
        <v>0.03264117835322741</v>
      </c>
      <c r="J15" s="64">
        <f t="shared" si="0"/>
        <v>0.3489028539141947</v>
      </c>
      <c r="K15" s="61"/>
    </row>
    <row r="16" spans="1:11" ht="15.75">
      <c r="A16" s="52">
        <v>14</v>
      </c>
      <c r="B16" s="1" t="s">
        <v>13</v>
      </c>
      <c r="C16" s="15">
        <f>'2.1.Вид дія'!E9</f>
        <v>0.7039914850384663</v>
      </c>
      <c r="D16" s="26">
        <f>'2.2. Інд.якості НПП'!J30</f>
        <v>0.7394636015325672</v>
      </c>
      <c r="E16" s="26">
        <f>'2.4. І як.наукової роботи'!K22</f>
        <v>0.4249674187824831</v>
      </c>
      <c r="F16" s="26">
        <f>'2.5. І. між.ак.'!E4</f>
        <v>0.0963855421686747</v>
      </c>
      <c r="G16" s="26">
        <f>'2.6.-2.6.1. І фін.активність'!E24</f>
        <v>0.01882164098042676</v>
      </c>
      <c r="H16" s="26">
        <f>'2.6.2. І фін наук діяльності'!E9</f>
        <v>0.07071008124234784</v>
      </c>
      <c r="I16" s="26">
        <f>'2.7. І вебометричних показн.'!K19</f>
        <v>0.049333978543142885</v>
      </c>
      <c r="J16" s="64">
        <f t="shared" si="0"/>
        <v>0.3207965662837487</v>
      </c>
      <c r="K16" s="61"/>
    </row>
    <row r="17" spans="1:11" ht="22.5" customHeight="1">
      <c r="A17" s="52">
        <v>15</v>
      </c>
      <c r="B17" s="1" t="s">
        <v>10</v>
      </c>
      <c r="C17" s="15">
        <f>'2.1.Вид дія'!E19</f>
        <v>0.3303651938683499</v>
      </c>
      <c r="D17" s="26">
        <f>'2.2. Інд.якості НПП'!J13</f>
        <v>1.235632183908046</v>
      </c>
      <c r="E17" s="26">
        <f>'2.4. І як.наукової роботи'!K16</f>
        <v>0.5760516274906967</v>
      </c>
      <c r="F17" s="26">
        <f>'2.5. І. між.ак.'!E22</f>
        <v>0.018072289156626505</v>
      </c>
      <c r="G17" s="26">
        <f>'2.6.-2.6.1. І фін.активність'!E15</f>
        <v>0.031993061290910264</v>
      </c>
      <c r="H17" s="26">
        <v>0</v>
      </c>
      <c r="I17" s="26">
        <f>'2.7. І вебометричних показн.'!K28</f>
        <v>0.03259958828255484</v>
      </c>
      <c r="J17" s="64">
        <f t="shared" si="0"/>
        <v>0.31148309712149536</v>
      </c>
      <c r="K17" s="61"/>
    </row>
    <row r="18" spans="1:11" ht="18" customHeight="1">
      <c r="A18" s="52">
        <v>16</v>
      </c>
      <c r="B18" s="1" t="s">
        <v>16</v>
      </c>
      <c r="C18" s="15">
        <f>'2.1.Вид дія'!E31</f>
        <v>0.10268259693417492</v>
      </c>
      <c r="D18" s="26">
        <f>'2.2. Інд.якості НПП'!J12</f>
        <v>1.2434318555008208</v>
      </c>
      <c r="E18" s="26">
        <f>'2.4. І як.наукової роботи'!K13</f>
        <v>0.7145602713269584</v>
      </c>
      <c r="F18" s="26">
        <f>'2.5. І. між.ак.'!E9</f>
        <v>0.04819277108433735</v>
      </c>
      <c r="G18" s="26">
        <f>'2.6.-2.6.1. І фін.активність'!E31</f>
        <v>0.011038991907429149</v>
      </c>
      <c r="H18" s="26">
        <v>0</v>
      </c>
      <c r="I18" s="26">
        <f>'2.7. І вебометричних показн.'!K25</f>
        <v>0.03638726173337333</v>
      </c>
      <c r="J18" s="64">
        <f t="shared" si="0"/>
        <v>0.29553429858815405</v>
      </c>
      <c r="K18" s="61"/>
    </row>
    <row r="19" spans="1:11" ht="18" customHeight="1">
      <c r="A19" s="52">
        <v>17</v>
      </c>
      <c r="B19" s="1" t="s">
        <v>32</v>
      </c>
      <c r="C19" s="15">
        <f>'2.1.Вид дія'!E12</f>
        <v>0.5027051397655545</v>
      </c>
      <c r="D19" s="26">
        <f>'2.2. Інд.якості НПП'!J21</f>
        <v>1</v>
      </c>
      <c r="E19" s="26">
        <f>'2.4. І як.наукової роботи'!K27</f>
        <v>0.3470739711401071</v>
      </c>
      <c r="F19" s="26">
        <f>'2.5. І. між.ак.'!E5</f>
        <v>0.07228915662650602</v>
      </c>
      <c r="G19" s="26">
        <f>'2.6.-2.6.1. І фін.активність'!E23</f>
        <v>0.01926606389699475</v>
      </c>
      <c r="H19" s="26">
        <v>0</v>
      </c>
      <c r="I19" s="26">
        <f>'2.7. І вебометричних показн.'!K5</f>
        <v>0.2293926322023208</v>
      </c>
      <c r="J19" s="64">
        <f t="shared" si="0"/>
        <v>0.2905809758435985</v>
      </c>
      <c r="K19" s="61"/>
    </row>
    <row r="20" spans="1:11" ht="19.5" customHeight="1">
      <c r="A20" s="52">
        <v>18</v>
      </c>
      <c r="B20" s="1" t="s">
        <v>6</v>
      </c>
      <c r="C20" s="15">
        <f>'2.1.Вид дія'!E15</f>
        <v>0.396190261496844</v>
      </c>
      <c r="D20" s="26">
        <f>'2.2. Інд.якості НПП'!J19</f>
        <v>1.0172413793103448</v>
      </c>
      <c r="E20" s="26">
        <f>'2.4. І як.наукової роботи'!K24</f>
        <v>0.38794887496663366</v>
      </c>
      <c r="F20" s="26">
        <f>'2.5. І. між.ак.'!E20</f>
        <v>0.024096385542168676</v>
      </c>
      <c r="G20" s="26">
        <f>'2.6.-2.6.1. І фін.активність'!E16</f>
        <v>0.029093909325008556</v>
      </c>
      <c r="H20" s="26">
        <v>0</v>
      </c>
      <c r="I20" s="26">
        <f>'2.7. І вебометричних показн.'!K4</f>
        <v>0.24403677530676907</v>
      </c>
      <c r="J20" s="64">
        <f t="shared" si="0"/>
        <v>0.2760728334757862</v>
      </c>
      <c r="K20" s="61"/>
    </row>
    <row r="21" spans="1:11" ht="21" customHeight="1">
      <c r="A21" s="141">
        <v>19</v>
      </c>
      <c r="B21" s="142" t="s">
        <v>7</v>
      </c>
      <c r="C21" s="15">
        <f>'2.1.Вид дія'!E27</f>
        <v>0.20660504959422904</v>
      </c>
      <c r="D21" s="26">
        <f>'2.2. Інд.якості НПП'!J3</f>
        <v>1.6773399014778325</v>
      </c>
      <c r="E21" s="26">
        <f>'2.4. І як.наукової роботи'!K30</f>
        <v>0.3004475010598709</v>
      </c>
      <c r="F21" s="26">
        <f>'2.5. І. між.ак.'!E30</f>
        <v>0</v>
      </c>
      <c r="G21" s="26">
        <f>'2.6.-2.6.1. І фін.активність'!E22</f>
        <v>0.02016663502625733</v>
      </c>
      <c r="H21" s="26">
        <v>0</v>
      </c>
      <c r="I21" s="26">
        <f>'2.7. І вебометричних показн.'!K32</f>
        <v>0.015304701278891568</v>
      </c>
      <c r="J21" s="64">
        <f t="shared" si="0"/>
        <v>0.27192639884517356</v>
      </c>
      <c r="K21" s="61"/>
    </row>
    <row r="22" spans="1:11" ht="15.75">
      <c r="A22" s="52">
        <v>20</v>
      </c>
      <c r="B22" s="1" t="s">
        <v>31</v>
      </c>
      <c r="C22" s="15">
        <f>'2.1.Вид дія'!E30</f>
        <v>0.11057258791704237</v>
      </c>
      <c r="D22" s="26">
        <f>'2.2. Інд.якості НПП'!J24</f>
        <v>0.9748010610079576</v>
      </c>
      <c r="E22" s="26">
        <f>'2.4. І як.наукової роботи'!K12</f>
        <v>0.7184244822334229</v>
      </c>
      <c r="F22" s="26">
        <f>'2.5. І. між.ак.'!E17</f>
        <v>0.030120481927710843</v>
      </c>
      <c r="G22" s="26">
        <f>'2.6.-2.6.1. І фін.активність'!E33</f>
        <v>0.00904838808103782</v>
      </c>
      <c r="H22" s="26">
        <v>0</v>
      </c>
      <c r="I22" s="26">
        <f>'2.7. І вебометричних показн.'!K21</f>
        <v>0.048450704225352116</v>
      </c>
      <c r="J22" s="64">
        <f t="shared" si="0"/>
        <v>0.2696189423430313</v>
      </c>
      <c r="K22" s="61"/>
    </row>
    <row r="23" spans="1:11" ht="15.75">
      <c r="A23" s="52">
        <v>21</v>
      </c>
      <c r="B23" s="1" t="s">
        <v>12</v>
      </c>
      <c r="C23" s="15">
        <f>'2.1.Вид дія'!E26</f>
        <v>0.24053201082055906</v>
      </c>
      <c r="D23" s="26">
        <f>'2.2. Інд.якості НПП'!J32</f>
        <v>0.6134453781512605</v>
      </c>
      <c r="E23" s="26">
        <f>'2.4. І як.наукової роботи'!K14</f>
        <v>0.6748598615101983</v>
      </c>
      <c r="F23" s="26">
        <f>'2.5. І. між.ак.'!E18</f>
        <v>0.030120481927710843</v>
      </c>
      <c r="G23" s="26">
        <f>'2.6.-2.6.1. І фін.активність'!E18</f>
        <v>0.022084930695730642</v>
      </c>
      <c r="H23" s="26">
        <f>'2.6.2. І фін наук діяльності'!E8</f>
        <v>0.07071008124234784</v>
      </c>
      <c r="I23" s="26">
        <f>'2.7. І вебометричних показн.'!K18</f>
        <v>0.05274970182819777</v>
      </c>
      <c r="J23" s="64">
        <f t="shared" si="0"/>
        <v>0.25935194675926637</v>
      </c>
      <c r="K23" s="61"/>
    </row>
    <row r="24" spans="1:11" ht="31.5">
      <c r="A24" s="52">
        <v>22</v>
      </c>
      <c r="B24" s="1" t="s">
        <v>22</v>
      </c>
      <c r="C24" s="15">
        <f>'2.1.Вид дія'!E23</f>
        <v>0.3032010820559062</v>
      </c>
      <c r="D24" s="26">
        <f>'2.2. Інд.якості НПП'!J18</f>
        <v>1.0666666666666667</v>
      </c>
      <c r="E24" s="26">
        <f>'2.4. І як.наукової роботи'!K25</f>
        <v>0.3846829023191546</v>
      </c>
      <c r="F24" s="26">
        <f>'2.5. І. між.ак.'!E6</f>
        <v>0.060240963855421686</v>
      </c>
      <c r="G24" s="26">
        <f>'2.6.-2.6.1. І фін.активність'!E20</f>
        <v>0.021133645171962593</v>
      </c>
      <c r="H24" s="26">
        <v>0</v>
      </c>
      <c r="I24" s="26">
        <f>'2.7. І вебометричних показн.'!K17</f>
        <v>0.05779755604880783</v>
      </c>
      <c r="J24" s="64">
        <f t="shared" si="0"/>
        <v>0.25527080224685766</v>
      </c>
      <c r="K24" s="61"/>
    </row>
    <row r="25" spans="1:11" ht="15.75">
      <c r="A25" s="52">
        <v>23</v>
      </c>
      <c r="B25" s="1" t="s">
        <v>23</v>
      </c>
      <c r="C25" s="15">
        <f>'2.1.Вид дія'!E18</f>
        <v>0.34</v>
      </c>
      <c r="D25" s="26">
        <f>'2.2. Інд.якості НПП'!J15</f>
        <v>1.1990595611285266</v>
      </c>
      <c r="E25" s="26">
        <f>'2.4. І як.наукової роботи'!K29</f>
        <v>0.30102375681065213</v>
      </c>
      <c r="F25" s="26">
        <f>'2.5. І. між.ак.'!E19</f>
        <v>0.024096385542168676</v>
      </c>
      <c r="G25" s="26">
        <f>'2.6.-2.6.1. І фін.активність'!E28</f>
        <v>0.01405730993200839</v>
      </c>
      <c r="H25" s="26">
        <v>0</v>
      </c>
      <c r="I25" s="26">
        <f>'2.7. І вебометричних показн.'!K15</f>
        <v>0.06405510288873656</v>
      </c>
      <c r="J25" s="64">
        <f t="shared" si="0"/>
        <v>0.2551288321668376</v>
      </c>
      <c r="K25" s="61"/>
    </row>
    <row r="26" spans="1:11" ht="15.75">
      <c r="A26" s="52">
        <v>24</v>
      </c>
      <c r="B26" s="1" t="s">
        <v>29</v>
      </c>
      <c r="C26" s="15">
        <f>'2.1.Вид дія'!E33</f>
        <v>0.054553651938683494</v>
      </c>
      <c r="D26" s="26">
        <f>'2.2. Інд.якості НПП'!J9</f>
        <v>1.359416445623342</v>
      </c>
      <c r="E26" s="26">
        <f>'2.4. І як.наукової роботи'!K19</f>
        <v>0.47262549656915853</v>
      </c>
      <c r="F26" s="26">
        <f>'2.5. І. між.ак.'!E15</f>
        <v>0.03614457831325301</v>
      </c>
      <c r="G26" s="26">
        <f>'2.6.-2.6.1. І фін.активність'!E9</f>
        <v>0.04815470479498086</v>
      </c>
      <c r="H26" s="26">
        <v>0</v>
      </c>
      <c r="I26" s="26">
        <f>'2.7. І вебометричних показн.'!K20</f>
        <v>0.04868381331501516</v>
      </c>
      <c r="J26" s="64">
        <f t="shared" si="0"/>
        <v>0.2522415932404768</v>
      </c>
      <c r="K26" s="61"/>
    </row>
    <row r="27" spans="1:11" ht="15.75">
      <c r="A27" s="141">
        <v>25</v>
      </c>
      <c r="B27" s="142" t="s">
        <v>33</v>
      </c>
      <c r="C27" s="15">
        <f>'2.1.Вид дія'!E25</f>
        <v>0.26745237927724813</v>
      </c>
      <c r="D27" s="26">
        <f>'2.2. Інд.якості НПП'!J17</f>
        <v>1.1600985221674875</v>
      </c>
      <c r="E27" s="26">
        <f>'2.4. І як.наукової роботи'!K26</f>
        <v>0.3482845792704948</v>
      </c>
      <c r="F27" s="26">
        <f>'2.5. І. між.ак.'!E34</f>
        <v>0</v>
      </c>
      <c r="G27" s="26">
        <f>'2.6.-2.6.1. І фін.активність'!E30</f>
        <v>0.011933442856284561</v>
      </c>
      <c r="H27" s="26">
        <v>0</v>
      </c>
      <c r="I27" s="26">
        <f>'2.7. І вебометричних показн.'!K10</f>
        <v>0.09052216778472509</v>
      </c>
      <c r="J27" s="64">
        <f t="shared" si="0"/>
        <v>0.24487669660116204</v>
      </c>
      <c r="K27" s="61"/>
    </row>
    <row r="28" spans="1:11" ht="15.75">
      <c r="A28" s="141">
        <v>26</v>
      </c>
      <c r="B28" s="142" t="s">
        <v>18</v>
      </c>
      <c r="C28" s="15">
        <f>'2.1.Вид дія'!E34</f>
        <v>0.03392696122633003</v>
      </c>
      <c r="D28" s="26">
        <f>'2.2. Інд.якості НПП'!J16</f>
        <v>1.1773399014778325</v>
      </c>
      <c r="E28" s="26">
        <f>'2.4. І як.наукової роботи'!K18</f>
        <v>0.5225289305509759</v>
      </c>
      <c r="F28" s="26">
        <f>'2.5. І. між.ак.'!E26</f>
        <v>0.012048192771084338</v>
      </c>
      <c r="G28" s="26">
        <f>'2.6.-2.6.1. І фін.активність'!E19</f>
        <v>0.021585720478176883</v>
      </c>
      <c r="H28" s="26">
        <v>0</v>
      </c>
      <c r="I28" s="26">
        <f>'2.7. І вебометричних показн.'!K8</f>
        <v>0.10862359577796146</v>
      </c>
      <c r="J28" s="64">
        <f t="shared" si="0"/>
        <v>0.23781973961706865</v>
      </c>
      <c r="K28" s="61"/>
    </row>
    <row r="29" spans="1:11" ht="15.75">
      <c r="A29" s="52">
        <v>27</v>
      </c>
      <c r="B29" s="1" t="s">
        <v>30</v>
      </c>
      <c r="C29" s="15">
        <f>'2.1.Вид дія'!E13</f>
        <v>0.4674256086564472</v>
      </c>
      <c r="D29" s="26">
        <f>'2.2. Інд.якості НПП'!J33</f>
        <v>0.5900383141762452</v>
      </c>
      <c r="E29" s="26">
        <f>'2.4. І як.наукової роботи'!K23</f>
        <v>0.3975929153516416</v>
      </c>
      <c r="F29" s="26">
        <f>'2.5. І. між.ак.'!E27</f>
        <v>0.006024096385542169</v>
      </c>
      <c r="G29" s="26">
        <f>'2.6.-2.6.1. І фін.активність'!E21</f>
        <v>0.0203210895084565</v>
      </c>
      <c r="H29" s="26">
        <v>0</v>
      </c>
      <c r="I29" s="26">
        <f>'2.7. І вебометричних показн.'!K31</f>
        <v>0.016868535212023354</v>
      </c>
      <c r="J29" s="64">
        <f t="shared" si="0"/>
        <v>0.23548548156924334</v>
      </c>
      <c r="K29" s="61"/>
    </row>
    <row r="30" spans="1:11" ht="21.75" customHeight="1">
      <c r="A30" s="141">
        <v>28</v>
      </c>
      <c r="B30" s="142" t="s">
        <v>25</v>
      </c>
      <c r="C30" s="15">
        <f>'2.1.Вид дія'!E32</f>
        <v>0.07427862939585213</v>
      </c>
      <c r="D30" s="26">
        <f>'2.2. Інд.якості НПП'!J20</f>
        <v>1.0172413793103448</v>
      </c>
      <c r="E30" s="26">
        <f>'2.4. І як.наукової роботи'!K21</f>
        <v>0.42929012200292055</v>
      </c>
      <c r="F30" s="26">
        <f>'2.5. І. між.ак.'!E29</f>
        <v>0.006024096385542169</v>
      </c>
      <c r="G30" s="26">
        <f>'2.6.-2.6.1. І фін.активність'!E26</f>
        <v>0.016116586164580803</v>
      </c>
      <c r="H30" s="26">
        <v>0</v>
      </c>
      <c r="I30" s="26">
        <f>'2.7. І вебометричних показн.'!K23</f>
        <v>0.03861034256058343</v>
      </c>
      <c r="J30" s="64">
        <f t="shared" si="0"/>
        <v>0.20658247359383047</v>
      </c>
      <c r="K30" s="61"/>
    </row>
    <row r="31" spans="1:11" ht="17.25" customHeight="1">
      <c r="A31" s="52">
        <v>29</v>
      </c>
      <c r="B31" s="1" t="s">
        <v>34</v>
      </c>
      <c r="C31" s="15">
        <f>'2.1.Вид дія'!E16</f>
        <v>0.36896829997037317</v>
      </c>
      <c r="D31" s="26">
        <f>'2.2. Інд.якості НПП'!J34</f>
        <v>0.5344827586206896</v>
      </c>
      <c r="E31" s="26">
        <f>'2.4. І як.наукової роботи'!K31</f>
        <v>0.280189049570556</v>
      </c>
      <c r="F31" s="26">
        <f>'2.5. І. між.ак.'!E14</f>
        <v>0.03614457831325301</v>
      </c>
      <c r="G31" s="26">
        <f>'2.6.-2.6.1. І фін.активність'!E34</f>
        <v>0.006581046439266704</v>
      </c>
      <c r="H31" s="26">
        <v>0</v>
      </c>
      <c r="I31" s="26">
        <f>'2.7. І вебометричних показн.'!K30</f>
        <v>0.02087398390613467</v>
      </c>
      <c r="J31" s="64">
        <f t="shared" si="0"/>
        <v>0.1885960074408135</v>
      </c>
      <c r="K31" s="61"/>
    </row>
    <row r="32" spans="1:11" ht="17.25" customHeight="1">
      <c r="A32" s="141">
        <v>30</v>
      </c>
      <c r="B32" s="142" t="s">
        <v>24</v>
      </c>
      <c r="C32" s="15">
        <f>'2.1.Вид дія'!E24</f>
        <v>0.27397963431880634</v>
      </c>
      <c r="D32" s="26">
        <f>'2.2. Інд.якості НПП'!J25</f>
        <v>0.9166666666666666</v>
      </c>
      <c r="E32" s="26">
        <f>'2.4. І як.наукової роботи'!K34</f>
        <v>0.0830467756371002</v>
      </c>
      <c r="F32" s="26">
        <f>'2.5. І. між.ак.'!E32</f>
        <v>0</v>
      </c>
      <c r="G32" s="26">
        <f>'2.6.-2.6.1. І фін.активність'!E10</f>
        <v>0.04617725459536278</v>
      </c>
      <c r="H32" s="26">
        <v>0</v>
      </c>
      <c r="I32" s="26">
        <f>'2.7. І вебометричних показн.'!K11</f>
        <v>0.08024347496598777</v>
      </c>
      <c r="J32" s="64">
        <f t="shared" si="0"/>
        <v>0.17170184786568365</v>
      </c>
      <c r="K32" s="61"/>
    </row>
    <row r="33" spans="1:11" ht="16.5" customHeight="1">
      <c r="A33" s="52">
        <v>31</v>
      </c>
      <c r="B33" s="1" t="s">
        <v>131</v>
      </c>
      <c r="C33" s="15">
        <f>'2.1.Вид дія'!E28</f>
        <v>0.17346708746618575</v>
      </c>
      <c r="D33" s="26">
        <f>'2.2. Інд.якості НПП'!J26</f>
        <v>0.8571428571428571</v>
      </c>
      <c r="E33" s="26">
        <f>'2.4. І як.наукової роботи'!K33</f>
        <v>0.20455508973573885</v>
      </c>
      <c r="F33" s="26">
        <f>'2.5. І. між.ак.'!E33</f>
        <v>0</v>
      </c>
      <c r="G33" s="26">
        <f>'2.6.-2.6.1. І фін.активність'!E17</f>
        <v>0.02570123449449156</v>
      </c>
      <c r="H33" s="26">
        <v>0</v>
      </c>
      <c r="I33" s="26">
        <f>'2.7. І вебометричних показн.'!K12</f>
        <v>0.07880891965705834</v>
      </c>
      <c r="J33" s="64">
        <f t="shared" si="0"/>
        <v>0.1678292905869727</v>
      </c>
      <c r="K33" s="61"/>
    </row>
    <row r="34" spans="1:11" ht="15.75">
      <c r="A34" s="141">
        <v>32</v>
      </c>
      <c r="B34" s="142" t="s">
        <v>19</v>
      </c>
      <c r="C34" s="15">
        <f>'2.1.Вид дія'!E29</f>
        <v>0.1110234445446348</v>
      </c>
      <c r="D34" s="26">
        <f>'2.2. Інд.якості НПП'!J31</f>
        <v>0.7272727272727273</v>
      </c>
      <c r="E34" s="26">
        <f>'2.4. І як.наукової роботи'!K32</f>
        <v>0.25382103097963477</v>
      </c>
      <c r="F34" s="26">
        <f>'2.5. І. між.ак.'!E16</f>
        <v>0.030120481927710843</v>
      </c>
      <c r="G34" s="26">
        <f>'2.6.-2.6.1. І фін.активність'!E3</f>
        <v>0.08075673702122796</v>
      </c>
      <c r="H34" s="26">
        <v>0</v>
      </c>
      <c r="I34" s="26">
        <f>'2.7. І вебометричних показн.'!K16</f>
        <v>0.05928609909977916</v>
      </c>
      <c r="J34" s="64">
        <f t="shared" si="0"/>
        <v>0.15974819468200951</v>
      </c>
      <c r="K34" s="61"/>
    </row>
    <row r="35" spans="1:11" ht="15.75">
      <c r="A35" s="141">
        <v>33</v>
      </c>
      <c r="B35" s="142" t="s">
        <v>35</v>
      </c>
      <c r="C35" s="15">
        <f>'2.1.Вид дія'!E35</f>
        <v>0.016230838593327322</v>
      </c>
      <c r="D35" s="26">
        <f>'2.2. Інд.якості НПП'!J35</f>
        <v>0.2</v>
      </c>
      <c r="E35" s="26">
        <f>'2.4. І як.наукової роботи'!K35</f>
        <v>0</v>
      </c>
      <c r="F35" s="26">
        <f>'2.5. І. між.ак.'!E35</f>
        <v>0</v>
      </c>
      <c r="G35" s="26">
        <f>'2.6.-2.6.1. І фін.активність'!E35</f>
        <v>0</v>
      </c>
      <c r="H35" s="26">
        <v>0</v>
      </c>
      <c r="I35" s="26">
        <f>'2.7. І вебометричних показн.'!K35</f>
        <v>0</v>
      </c>
      <c r="J35" s="64">
        <f t="shared" si="0"/>
        <v>0.02324616771866547</v>
      </c>
      <c r="K35" s="61"/>
    </row>
    <row r="36" spans="2:11" ht="12.75">
      <c r="B36" s="60"/>
      <c r="C36" s="60"/>
      <c r="D36" s="60"/>
      <c r="E36" s="60"/>
      <c r="F36" s="60"/>
      <c r="G36" s="60"/>
      <c r="H36" s="60"/>
      <c r="I36" s="60"/>
      <c r="J36" s="60"/>
      <c r="K36" s="60"/>
    </row>
  </sheetData>
  <sheetProtection/>
  <mergeCells count="1">
    <mergeCell ref="B1:J1"/>
  </mergeCells>
  <printOptions/>
  <pageMargins left="0.75" right="0.2" top="0.36" bottom="0.35" header="0.31" footer="0.2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="75" zoomScaleNormal="75" zoomScalePageLayoutView="0" workbookViewId="0" topLeftCell="A28">
      <selection activeCell="B36" sqref="B36:C36"/>
    </sheetView>
  </sheetViews>
  <sheetFormatPr defaultColWidth="9.00390625" defaultRowHeight="12.75"/>
  <cols>
    <col min="1" max="1" width="6.75390625" style="0" customWidth="1"/>
    <col min="2" max="2" width="63.375" style="0" customWidth="1"/>
    <col min="3" max="3" width="30.00390625" style="0" customWidth="1"/>
    <col min="4" max="4" width="23.125" style="0" customWidth="1"/>
    <col min="5" max="5" width="24.125" style="0" customWidth="1"/>
  </cols>
  <sheetData>
    <row r="1" spans="2:3" ht="48" customHeight="1">
      <c r="B1" s="144" t="s">
        <v>40</v>
      </c>
      <c r="C1" s="144"/>
    </row>
    <row r="2" spans="1:5" ht="91.5" customHeight="1">
      <c r="A2" s="52" t="s">
        <v>110</v>
      </c>
      <c r="B2" s="69" t="s">
        <v>0</v>
      </c>
      <c r="C2" s="69" t="s">
        <v>1</v>
      </c>
      <c r="D2" s="69" t="s">
        <v>2</v>
      </c>
      <c r="E2" s="69" t="s">
        <v>3</v>
      </c>
    </row>
    <row r="3" spans="1:5" ht="15" customHeight="1">
      <c r="A3" s="52">
        <v>1</v>
      </c>
      <c r="B3" s="1" t="s">
        <v>8</v>
      </c>
      <c r="C3" s="135">
        <v>271.8</v>
      </c>
      <c r="D3" s="39">
        <v>258.5</v>
      </c>
      <c r="E3" s="15">
        <f>C3/$C$4+D3/$D$5</f>
        <v>1.2641649502702237</v>
      </c>
    </row>
    <row r="4" spans="1:5" ht="15.75">
      <c r="A4" s="52">
        <v>2</v>
      </c>
      <c r="B4" s="1" t="s">
        <v>9</v>
      </c>
      <c r="C4" s="135">
        <v>279.4</v>
      </c>
      <c r="D4" s="39">
        <v>202.4</v>
      </c>
      <c r="E4" s="15">
        <f aca="true" t="shared" si="0" ref="E4:E35">C4/$C$4+D4/$D$5</f>
        <v>1.2281334535617674</v>
      </c>
    </row>
    <row r="5" spans="1:5" ht="15.75">
      <c r="A5" s="55">
        <v>3</v>
      </c>
      <c r="B5" s="136" t="s">
        <v>11</v>
      </c>
      <c r="C5" s="137">
        <v>14.6</v>
      </c>
      <c r="D5" s="138">
        <v>887.2</v>
      </c>
      <c r="E5" s="14">
        <f t="shared" si="0"/>
        <v>1.0522548317823908</v>
      </c>
    </row>
    <row r="6" spans="1:5" ht="15.75">
      <c r="A6" s="52">
        <v>4</v>
      </c>
      <c r="B6" s="1" t="s">
        <v>26</v>
      </c>
      <c r="C6" s="135">
        <v>214</v>
      </c>
      <c r="D6" s="39">
        <v>238.1</v>
      </c>
      <c r="E6" s="14">
        <v>1.04</v>
      </c>
    </row>
    <row r="7" spans="1:5" ht="15.75">
      <c r="A7" s="52">
        <v>5</v>
      </c>
      <c r="B7" s="1" t="s">
        <v>21</v>
      </c>
      <c r="C7" s="135">
        <v>192.9</v>
      </c>
      <c r="D7" s="39">
        <v>172.4</v>
      </c>
      <c r="E7" s="15">
        <f t="shared" si="0"/>
        <v>0.8847272236720063</v>
      </c>
    </row>
    <row r="8" spans="1:5" ht="15.75">
      <c r="A8" s="52">
        <v>6</v>
      </c>
      <c r="B8" s="1" t="s">
        <v>5</v>
      </c>
      <c r="C8" s="39">
        <v>0</v>
      </c>
      <c r="D8" s="135">
        <v>712</v>
      </c>
      <c r="E8" s="15">
        <f t="shared" si="0"/>
        <v>0.8025247971145175</v>
      </c>
    </row>
    <row r="9" spans="1:5" ht="15.75">
      <c r="A9" s="52">
        <v>7</v>
      </c>
      <c r="B9" s="1" t="s">
        <v>13</v>
      </c>
      <c r="C9" s="39">
        <v>103.1</v>
      </c>
      <c r="D9" s="39">
        <v>297.2</v>
      </c>
      <c r="E9" s="15">
        <f t="shared" si="0"/>
        <v>0.7039914850384663</v>
      </c>
    </row>
    <row r="10" spans="1:5" ht="15.75">
      <c r="A10" s="52">
        <v>8</v>
      </c>
      <c r="B10" s="1" t="s">
        <v>14</v>
      </c>
      <c r="C10" s="39">
        <v>123.9</v>
      </c>
      <c r="D10" s="39">
        <v>226.2</v>
      </c>
      <c r="E10" s="15">
        <v>0.69</v>
      </c>
    </row>
    <row r="11" spans="1:5" ht="15.75">
      <c r="A11" s="52">
        <v>9</v>
      </c>
      <c r="B11" s="1" t="s">
        <v>15</v>
      </c>
      <c r="C11" s="39">
        <v>38.8</v>
      </c>
      <c r="D11" s="39">
        <v>332.2</v>
      </c>
      <c r="E11" s="15">
        <f t="shared" si="0"/>
        <v>0.5133054342262467</v>
      </c>
    </row>
    <row r="12" spans="1:5" ht="15.75">
      <c r="A12" s="52">
        <v>10</v>
      </c>
      <c r="B12" s="1" t="s">
        <v>32</v>
      </c>
      <c r="C12" s="39">
        <v>0</v>
      </c>
      <c r="D12" s="135">
        <v>446</v>
      </c>
      <c r="E12" s="15">
        <f t="shared" si="0"/>
        <v>0.5027051397655545</v>
      </c>
    </row>
    <row r="13" spans="1:5" ht="15.75">
      <c r="A13" s="52">
        <v>11</v>
      </c>
      <c r="B13" s="1" t="s">
        <v>30</v>
      </c>
      <c r="C13" s="39">
        <v>0</v>
      </c>
      <c r="D13" s="39">
        <v>414.7</v>
      </c>
      <c r="E13" s="15">
        <f t="shared" si="0"/>
        <v>0.4674256086564472</v>
      </c>
    </row>
    <row r="14" spans="1:5" ht="15.75">
      <c r="A14" s="52">
        <v>12</v>
      </c>
      <c r="B14" s="1" t="s">
        <v>17</v>
      </c>
      <c r="C14" s="39">
        <v>31.6</v>
      </c>
      <c r="D14" s="39">
        <v>297.5</v>
      </c>
      <c r="E14" s="15">
        <f t="shared" si="0"/>
        <v>0.4484241156981371</v>
      </c>
    </row>
    <row r="15" spans="1:5" ht="14.25" customHeight="1">
      <c r="A15" s="52">
        <v>13</v>
      </c>
      <c r="B15" s="1" t="s">
        <v>6</v>
      </c>
      <c r="C15" s="39">
        <v>0</v>
      </c>
      <c r="D15" s="39">
        <v>351.5</v>
      </c>
      <c r="E15" s="15">
        <f t="shared" si="0"/>
        <v>0.396190261496844</v>
      </c>
    </row>
    <row r="16" spans="1:5" ht="15.75">
      <c r="A16" s="52">
        <v>14</v>
      </c>
      <c r="B16" s="1" t="s">
        <v>34</v>
      </c>
      <c r="C16" s="135">
        <v>63</v>
      </c>
      <c r="D16" s="39">
        <v>127.3</v>
      </c>
      <c r="E16" s="15">
        <f t="shared" si="0"/>
        <v>0.36896829997037317</v>
      </c>
    </row>
    <row r="17" spans="1:5" ht="16.5" customHeight="1">
      <c r="A17" s="52">
        <v>15</v>
      </c>
      <c r="B17" s="1" t="s">
        <v>28</v>
      </c>
      <c r="C17" s="39">
        <v>60.2</v>
      </c>
      <c r="D17" s="39">
        <v>121.6</v>
      </c>
      <c r="E17" s="15">
        <v>0.36</v>
      </c>
    </row>
    <row r="18" spans="1:5" ht="18" customHeight="1">
      <c r="A18" s="52">
        <v>16</v>
      </c>
      <c r="B18" s="1" t="s">
        <v>23</v>
      </c>
      <c r="C18" s="39">
        <v>21.2</v>
      </c>
      <c r="D18" s="39">
        <v>227.4</v>
      </c>
      <c r="E18" s="15">
        <v>0.34</v>
      </c>
    </row>
    <row r="19" spans="1:5" ht="15.75">
      <c r="A19" s="52">
        <v>17</v>
      </c>
      <c r="B19" s="1" t="s">
        <v>10</v>
      </c>
      <c r="C19" s="39">
        <v>0</v>
      </c>
      <c r="D19" s="39">
        <v>293.1</v>
      </c>
      <c r="E19" s="15">
        <f t="shared" si="0"/>
        <v>0.3303651938683499</v>
      </c>
    </row>
    <row r="20" spans="1:5" ht="15.75">
      <c r="A20" s="52">
        <v>18</v>
      </c>
      <c r="B20" s="1" t="s">
        <v>20</v>
      </c>
      <c r="C20" s="39">
        <v>0</v>
      </c>
      <c r="D20" s="39">
        <v>290.2</v>
      </c>
      <c r="E20" s="15">
        <f t="shared" si="0"/>
        <v>0.32709648331830476</v>
      </c>
    </row>
    <row r="21" spans="1:5" ht="13.5" customHeight="1">
      <c r="A21" s="52">
        <v>19</v>
      </c>
      <c r="B21" s="1" t="s">
        <v>4</v>
      </c>
      <c r="C21" s="39">
        <v>0</v>
      </c>
      <c r="D21" s="39">
        <v>284.9</v>
      </c>
      <c r="E21" s="15">
        <f t="shared" si="0"/>
        <v>0.3211226330027051</v>
      </c>
    </row>
    <row r="22" spans="1:5" ht="15.75">
      <c r="A22" s="52">
        <v>20</v>
      </c>
      <c r="B22" s="1" t="s">
        <v>27</v>
      </c>
      <c r="C22" s="39">
        <v>16.9</v>
      </c>
      <c r="D22" s="39">
        <v>217.1</v>
      </c>
      <c r="E22" s="15">
        <v>0.3</v>
      </c>
    </row>
    <row r="23" spans="1:5" ht="15.75">
      <c r="A23" s="52">
        <v>21</v>
      </c>
      <c r="B23" s="1" t="s">
        <v>22</v>
      </c>
      <c r="C23" s="39">
        <v>0</v>
      </c>
      <c r="D23" s="135">
        <v>269</v>
      </c>
      <c r="E23" s="15">
        <f t="shared" si="0"/>
        <v>0.3032010820559062</v>
      </c>
    </row>
    <row r="24" spans="1:5" ht="15.75">
      <c r="A24" s="52">
        <v>22</v>
      </c>
      <c r="B24" s="1" t="s">
        <v>24</v>
      </c>
      <c r="C24" s="39">
        <v>39.2</v>
      </c>
      <c r="D24" s="39">
        <v>118.6</v>
      </c>
      <c r="E24" s="15">
        <f t="shared" si="0"/>
        <v>0.27397963431880634</v>
      </c>
    </row>
    <row r="25" spans="1:5" ht="15.75">
      <c r="A25" s="52">
        <v>23</v>
      </c>
      <c r="B25" s="1" t="s">
        <v>33</v>
      </c>
      <c r="C25" s="39">
        <v>63.2</v>
      </c>
      <c r="D25" s="39">
        <v>36.6</v>
      </c>
      <c r="E25" s="15">
        <f t="shared" si="0"/>
        <v>0.26745237927724813</v>
      </c>
    </row>
    <row r="26" spans="1:5" ht="16.5" customHeight="1">
      <c r="A26" s="52">
        <v>24</v>
      </c>
      <c r="B26" s="1" t="s">
        <v>12</v>
      </c>
      <c r="C26" s="39">
        <v>0</v>
      </c>
      <c r="D26" s="39">
        <v>213.4</v>
      </c>
      <c r="E26" s="15">
        <f t="shared" si="0"/>
        <v>0.24053201082055906</v>
      </c>
    </row>
    <row r="27" spans="1:5" ht="15.75">
      <c r="A27" s="52">
        <v>25</v>
      </c>
      <c r="B27" s="1" t="s">
        <v>7</v>
      </c>
      <c r="C27" s="39">
        <v>0</v>
      </c>
      <c r="D27" s="39">
        <v>183.3</v>
      </c>
      <c r="E27" s="15">
        <f t="shared" si="0"/>
        <v>0.20660504959422904</v>
      </c>
    </row>
    <row r="28" spans="1:5" ht="15.75">
      <c r="A28" s="52">
        <v>26</v>
      </c>
      <c r="B28" s="1" t="s">
        <v>131</v>
      </c>
      <c r="C28" s="39">
        <v>0</v>
      </c>
      <c r="D28" s="39">
        <v>153.9</v>
      </c>
      <c r="E28" s="15">
        <f t="shared" si="0"/>
        <v>0.17346708746618575</v>
      </c>
    </row>
    <row r="29" spans="1:5" ht="15.75">
      <c r="A29" s="52">
        <v>27</v>
      </c>
      <c r="B29" s="1" t="s">
        <v>19</v>
      </c>
      <c r="C29" s="39">
        <v>0</v>
      </c>
      <c r="D29" s="39">
        <v>98.5</v>
      </c>
      <c r="E29" s="15">
        <f t="shared" si="0"/>
        <v>0.1110234445446348</v>
      </c>
    </row>
    <row r="30" spans="1:5" ht="15.75">
      <c r="A30" s="52">
        <v>28</v>
      </c>
      <c r="B30" s="1" t="s">
        <v>31</v>
      </c>
      <c r="C30" s="39">
        <v>0</v>
      </c>
      <c r="D30" s="39">
        <v>98.1</v>
      </c>
      <c r="E30" s="15">
        <f t="shared" si="0"/>
        <v>0.11057258791704237</v>
      </c>
    </row>
    <row r="31" spans="1:5" ht="15.75">
      <c r="A31" s="52">
        <v>29</v>
      </c>
      <c r="B31" s="1" t="s">
        <v>16</v>
      </c>
      <c r="C31" s="39">
        <v>0</v>
      </c>
      <c r="D31" s="39">
        <v>91.1</v>
      </c>
      <c r="E31" s="15">
        <f t="shared" si="0"/>
        <v>0.10268259693417492</v>
      </c>
    </row>
    <row r="32" spans="1:5" ht="15.75">
      <c r="A32" s="52">
        <v>30</v>
      </c>
      <c r="B32" s="1" t="s">
        <v>25</v>
      </c>
      <c r="C32" s="39">
        <v>0</v>
      </c>
      <c r="D32" s="39">
        <v>65.9</v>
      </c>
      <c r="E32" s="15">
        <f t="shared" si="0"/>
        <v>0.07427862939585213</v>
      </c>
    </row>
    <row r="33" spans="1:5" ht="15.75">
      <c r="A33" s="52">
        <v>31</v>
      </c>
      <c r="B33" s="1" t="s">
        <v>29</v>
      </c>
      <c r="C33" s="39">
        <v>0</v>
      </c>
      <c r="D33" s="39">
        <v>48.4</v>
      </c>
      <c r="E33" s="15">
        <f t="shared" si="0"/>
        <v>0.054553651938683494</v>
      </c>
    </row>
    <row r="34" spans="1:5" ht="15.75">
      <c r="A34" s="52">
        <v>32</v>
      </c>
      <c r="B34" s="1" t="s">
        <v>18</v>
      </c>
      <c r="C34" s="39">
        <v>0</v>
      </c>
      <c r="D34" s="39">
        <v>30.1</v>
      </c>
      <c r="E34" s="15">
        <f t="shared" si="0"/>
        <v>0.03392696122633003</v>
      </c>
    </row>
    <row r="35" spans="1:5" ht="15.75">
      <c r="A35" s="52">
        <v>33</v>
      </c>
      <c r="B35" s="1" t="s">
        <v>35</v>
      </c>
      <c r="C35" s="39">
        <v>0</v>
      </c>
      <c r="D35" s="39">
        <v>14.4</v>
      </c>
      <c r="E35" s="15">
        <f t="shared" si="0"/>
        <v>0.016230838593327322</v>
      </c>
    </row>
    <row r="36" spans="2:5" s="12" customFormat="1" ht="60.75" customHeight="1">
      <c r="B36" s="145" t="s">
        <v>41</v>
      </c>
      <c r="C36" s="145"/>
      <c r="D36" s="70"/>
      <c r="E36" s="70"/>
    </row>
    <row r="37" spans="1:5" ht="51">
      <c r="A37" s="68" t="s">
        <v>110</v>
      </c>
      <c r="B37" s="65" t="s">
        <v>44</v>
      </c>
      <c r="C37" s="65" t="s">
        <v>1</v>
      </c>
      <c r="D37" s="65" t="s">
        <v>2</v>
      </c>
      <c r="E37" s="65" t="s">
        <v>3</v>
      </c>
    </row>
    <row r="38" spans="1:5" ht="15.75">
      <c r="A38" s="52">
        <v>1</v>
      </c>
      <c r="B38" s="1" t="s">
        <v>36</v>
      </c>
      <c r="C38" s="39">
        <v>53.9</v>
      </c>
      <c r="D38" s="39">
        <v>364.2</v>
      </c>
      <c r="E38" s="39">
        <v>1.78</v>
      </c>
    </row>
    <row r="39" spans="1:5" ht="15.75">
      <c r="A39" s="52">
        <v>2</v>
      </c>
      <c r="B39" s="1" t="s">
        <v>37</v>
      </c>
      <c r="C39" s="39">
        <v>69.1</v>
      </c>
      <c r="D39" s="39">
        <v>262.5</v>
      </c>
      <c r="E39" s="39">
        <v>1.72</v>
      </c>
    </row>
    <row r="40" spans="1:5" ht="31.5">
      <c r="A40" s="52">
        <v>3</v>
      </c>
      <c r="B40" s="1" t="s">
        <v>38</v>
      </c>
      <c r="C40" s="39">
        <v>38.5</v>
      </c>
      <c r="D40" s="39">
        <v>212.5</v>
      </c>
      <c r="E40" s="39">
        <v>1.14</v>
      </c>
    </row>
    <row r="41" spans="1:5" ht="31.5">
      <c r="A41" s="52">
        <v>4</v>
      </c>
      <c r="B41" s="1" t="s">
        <v>39</v>
      </c>
      <c r="C41" s="39">
        <v>30.5</v>
      </c>
      <c r="D41" s="39">
        <v>160.5</v>
      </c>
      <c r="E41" s="39">
        <v>0.88</v>
      </c>
    </row>
  </sheetData>
  <sheetProtection/>
  <mergeCells count="2">
    <mergeCell ref="B1:C1"/>
    <mergeCell ref="B36:C36"/>
  </mergeCells>
  <printOptions/>
  <pageMargins left="0.29" right="0.28" top="0.3" bottom="0.31" header="0.25" footer="0.21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="75" zoomScaleNormal="75" zoomScalePageLayoutView="0" workbookViewId="0" topLeftCell="A31">
      <selection activeCell="L4" sqref="L4"/>
    </sheetView>
  </sheetViews>
  <sheetFormatPr defaultColWidth="9.00390625" defaultRowHeight="12.75"/>
  <cols>
    <col min="1" max="1" width="4.375" style="0" customWidth="1"/>
    <col min="2" max="2" width="61.25390625" style="0" customWidth="1"/>
    <col min="3" max="3" width="14.625" style="0" customWidth="1"/>
    <col min="4" max="4" width="14.125" style="0" customWidth="1"/>
    <col min="5" max="5" width="12.875" style="0" customWidth="1"/>
    <col min="6" max="6" width="13.375" style="0" customWidth="1"/>
    <col min="7" max="7" width="21.375" style="0" customWidth="1"/>
    <col min="8" max="8" width="22.125" style="0" customWidth="1"/>
    <col min="9" max="9" width="20.625" style="0" customWidth="1"/>
    <col min="10" max="10" width="14.875" style="0" customWidth="1"/>
  </cols>
  <sheetData>
    <row r="1" spans="1:10" ht="37.5" customHeight="1">
      <c r="A1" s="23"/>
      <c r="B1" s="71" t="s">
        <v>42</v>
      </c>
      <c r="C1" s="23"/>
      <c r="D1" s="23"/>
      <c r="E1" s="23"/>
      <c r="F1" s="23"/>
      <c r="G1" s="23"/>
      <c r="H1" s="23"/>
      <c r="I1" s="23"/>
      <c r="J1" s="23"/>
    </row>
    <row r="2" spans="1:10" ht="216.75" customHeight="1">
      <c r="A2" s="52" t="s">
        <v>110</v>
      </c>
      <c r="B2" s="65" t="s">
        <v>0</v>
      </c>
      <c r="C2" s="65" t="s">
        <v>79</v>
      </c>
      <c r="D2" s="65" t="s">
        <v>80</v>
      </c>
      <c r="E2" s="65" t="s">
        <v>84</v>
      </c>
      <c r="F2" s="65" t="s">
        <v>81</v>
      </c>
      <c r="G2" s="65" t="s">
        <v>82</v>
      </c>
      <c r="H2" s="65" t="s">
        <v>83</v>
      </c>
      <c r="I2" s="65" t="s">
        <v>86</v>
      </c>
      <c r="J2" s="65" t="s">
        <v>85</v>
      </c>
    </row>
    <row r="3" spans="1:10" ht="17.25" customHeight="1">
      <c r="A3" s="52">
        <v>1</v>
      </c>
      <c r="B3" s="11" t="s">
        <v>7</v>
      </c>
      <c r="C3" s="90">
        <v>6</v>
      </c>
      <c r="D3" s="90">
        <v>6</v>
      </c>
      <c r="E3" s="28">
        <v>1</v>
      </c>
      <c r="F3" s="32">
        <f aca="true" t="shared" si="0" ref="F3:F35">$E$36</f>
        <v>7</v>
      </c>
      <c r="G3" s="89">
        <v>3</v>
      </c>
      <c r="H3" s="89">
        <v>2</v>
      </c>
      <c r="I3" s="26">
        <f aca="true" t="shared" si="1" ref="I3:I35">$H$36</f>
        <v>58</v>
      </c>
      <c r="J3" s="26">
        <f aca="true" t="shared" si="2" ref="J3:J35">(C3/D3)+(E3/F3)+(G3/D3)+(H3/I3)</f>
        <v>1.6773399014778325</v>
      </c>
    </row>
    <row r="4" spans="1:10" ht="15.75">
      <c r="A4" s="52">
        <v>2</v>
      </c>
      <c r="B4" s="11" t="s">
        <v>20</v>
      </c>
      <c r="C4" s="90">
        <v>11</v>
      </c>
      <c r="D4" s="90">
        <v>11</v>
      </c>
      <c r="E4" s="28">
        <v>0</v>
      </c>
      <c r="F4" s="32">
        <f t="shared" si="0"/>
        <v>7</v>
      </c>
      <c r="G4" s="89">
        <v>6</v>
      </c>
      <c r="H4" s="89">
        <v>3</v>
      </c>
      <c r="I4" s="26">
        <f t="shared" si="1"/>
        <v>58</v>
      </c>
      <c r="J4" s="26">
        <f t="shared" si="2"/>
        <v>1.59717868338558</v>
      </c>
    </row>
    <row r="5" spans="1:10" ht="18" customHeight="1">
      <c r="A5" s="52">
        <v>3</v>
      </c>
      <c r="B5" s="11" t="s">
        <v>21</v>
      </c>
      <c r="C5" s="90">
        <v>8</v>
      </c>
      <c r="D5" s="90">
        <v>13</v>
      </c>
      <c r="E5" s="28">
        <v>0</v>
      </c>
      <c r="F5" s="32">
        <f t="shared" si="0"/>
        <v>7</v>
      </c>
      <c r="G5" s="89">
        <v>12</v>
      </c>
      <c r="H5" s="89">
        <v>3</v>
      </c>
      <c r="I5" s="26">
        <f t="shared" si="1"/>
        <v>58</v>
      </c>
      <c r="J5" s="26">
        <f t="shared" si="2"/>
        <v>1.590185676392573</v>
      </c>
    </row>
    <row r="6" spans="1:10" ht="15.75">
      <c r="A6" s="52">
        <v>4</v>
      </c>
      <c r="B6" s="11" t="s">
        <v>9</v>
      </c>
      <c r="C6" s="90">
        <v>15</v>
      </c>
      <c r="D6" s="90">
        <v>16</v>
      </c>
      <c r="E6" s="28">
        <v>0</v>
      </c>
      <c r="F6" s="32">
        <f t="shared" si="0"/>
        <v>7</v>
      </c>
      <c r="G6" s="89">
        <v>9</v>
      </c>
      <c r="H6" s="89">
        <v>5</v>
      </c>
      <c r="I6" s="26">
        <f t="shared" si="1"/>
        <v>58</v>
      </c>
      <c r="J6" s="26">
        <f t="shared" si="2"/>
        <v>1.5862068965517242</v>
      </c>
    </row>
    <row r="7" spans="1:10" ht="15.75">
      <c r="A7" s="52">
        <v>5</v>
      </c>
      <c r="B7" s="11" t="s">
        <v>14</v>
      </c>
      <c r="C7" s="90">
        <v>10</v>
      </c>
      <c r="D7" s="90">
        <v>15</v>
      </c>
      <c r="E7" s="28">
        <v>1</v>
      </c>
      <c r="F7" s="32">
        <f t="shared" si="0"/>
        <v>7</v>
      </c>
      <c r="G7" s="89">
        <v>9</v>
      </c>
      <c r="H7" s="89">
        <v>7</v>
      </c>
      <c r="I7" s="26">
        <f t="shared" si="1"/>
        <v>58</v>
      </c>
      <c r="J7" s="26">
        <f t="shared" si="2"/>
        <v>1.530213464696223</v>
      </c>
    </row>
    <row r="8" spans="1:10" ht="15.75">
      <c r="A8" s="52">
        <v>6</v>
      </c>
      <c r="B8" s="11" t="s">
        <v>17</v>
      </c>
      <c r="C8" s="90">
        <v>7</v>
      </c>
      <c r="D8" s="90">
        <v>8</v>
      </c>
      <c r="E8" s="28">
        <v>0</v>
      </c>
      <c r="F8" s="32">
        <f t="shared" si="0"/>
        <v>7</v>
      </c>
      <c r="G8" s="89">
        <v>4</v>
      </c>
      <c r="H8" s="89">
        <v>1</v>
      </c>
      <c r="I8" s="26">
        <f t="shared" si="1"/>
        <v>58</v>
      </c>
      <c r="J8" s="26">
        <f t="shared" si="2"/>
        <v>1.3922413793103448</v>
      </c>
    </row>
    <row r="9" spans="1:10" ht="15.75">
      <c r="A9" s="52">
        <v>7</v>
      </c>
      <c r="B9" s="11" t="s">
        <v>29</v>
      </c>
      <c r="C9" s="90">
        <v>19</v>
      </c>
      <c r="D9" s="90">
        <v>26</v>
      </c>
      <c r="E9" s="28">
        <v>0</v>
      </c>
      <c r="F9" s="32">
        <f t="shared" si="0"/>
        <v>7</v>
      </c>
      <c r="G9" s="89">
        <v>15</v>
      </c>
      <c r="H9" s="89">
        <v>3</v>
      </c>
      <c r="I9" s="26">
        <f t="shared" si="1"/>
        <v>58</v>
      </c>
      <c r="J9" s="26">
        <f t="shared" si="2"/>
        <v>1.359416445623342</v>
      </c>
    </row>
    <row r="10" spans="1:10" ht="31.5">
      <c r="A10" s="52">
        <v>8</v>
      </c>
      <c r="B10" s="11" t="s">
        <v>4</v>
      </c>
      <c r="C10" s="90">
        <v>12</v>
      </c>
      <c r="D10" s="90">
        <v>13</v>
      </c>
      <c r="E10" s="28">
        <v>0</v>
      </c>
      <c r="F10" s="32">
        <f t="shared" si="0"/>
        <v>7</v>
      </c>
      <c r="G10" s="89">
        <v>5</v>
      </c>
      <c r="H10" s="89">
        <v>2</v>
      </c>
      <c r="I10" s="26">
        <f t="shared" si="1"/>
        <v>58</v>
      </c>
      <c r="J10" s="26">
        <f t="shared" si="2"/>
        <v>1.3421750663129974</v>
      </c>
    </row>
    <row r="11" spans="1:10" ht="15.75">
      <c r="A11" s="52">
        <v>9</v>
      </c>
      <c r="B11" s="11" t="s">
        <v>11</v>
      </c>
      <c r="C11" s="90">
        <v>17</v>
      </c>
      <c r="D11" s="90">
        <v>18</v>
      </c>
      <c r="E11" s="28">
        <v>1</v>
      </c>
      <c r="F11" s="32">
        <f t="shared" si="0"/>
        <v>7</v>
      </c>
      <c r="G11" s="89">
        <v>2</v>
      </c>
      <c r="H11" s="89">
        <v>5</v>
      </c>
      <c r="I11" s="26">
        <f t="shared" si="1"/>
        <v>58</v>
      </c>
      <c r="J11" s="26">
        <f t="shared" si="2"/>
        <v>1.2846195949644226</v>
      </c>
    </row>
    <row r="12" spans="1:10" ht="15.75">
      <c r="A12" s="52">
        <v>10</v>
      </c>
      <c r="B12" s="11" t="s">
        <v>16</v>
      </c>
      <c r="C12" s="90">
        <v>12</v>
      </c>
      <c r="D12" s="90">
        <v>12</v>
      </c>
      <c r="E12" s="28">
        <v>1</v>
      </c>
      <c r="F12" s="32">
        <f t="shared" si="0"/>
        <v>7</v>
      </c>
      <c r="G12" s="89">
        <v>1</v>
      </c>
      <c r="H12" s="89">
        <v>1</v>
      </c>
      <c r="I12" s="26">
        <f t="shared" si="1"/>
        <v>58</v>
      </c>
      <c r="J12" s="26">
        <f t="shared" si="2"/>
        <v>1.2434318555008208</v>
      </c>
    </row>
    <row r="13" spans="1:10" ht="15.75">
      <c r="A13" s="52">
        <v>11</v>
      </c>
      <c r="B13" s="11" t="s">
        <v>10</v>
      </c>
      <c r="C13" s="90">
        <v>12</v>
      </c>
      <c r="D13" s="90">
        <v>12</v>
      </c>
      <c r="E13" s="28">
        <v>0</v>
      </c>
      <c r="F13" s="32">
        <f t="shared" si="0"/>
        <v>7</v>
      </c>
      <c r="G13" s="89">
        <v>2</v>
      </c>
      <c r="H13" s="89">
        <v>4</v>
      </c>
      <c r="I13" s="26">
        <f t="shared" si="1"/>
        <v>58</v>
      </c>
      <c r="J13" s="26">
        <f t="shared" si="2"/>
        <v>1.235632183908046</v>
      </c>
    </row>
    <row r="14" spans="1:10" ht="15.75">
      <c r="A14" s="52">
        <v>12</v>
      </c>
      <c r="B14" s="11" t="s">
        <v>27</v>
      </c>
      <c r="C14" s="90">
        <v>17</v>
      </c>
      <c r="D14" s="90">
        <v>25</v>
      </c>
      <c r="E14" s="28">
        <v>1</v>
      </c>
      <c r="F14" s="32">
        <f t="shared" si="0"/>
        <v>7</v>
      </c>
      <c r="G14" s="89">
        <v>9</v>
      </c>
      <c r="H14" s="89">
        <v>3</v>
      </c>
      <c r="I14" s="26">
        <f t="shared" si="1"/>
        <v>58</v>
      </c>
      <c r="J14" s="26">
        <f t="shared" si="2"/>
        <v>1.2345812807881773</v>
      </c>
    </row>
    <row r="15" spans="1:10" ht="15.75">
      <c r="A15" s="52">
        <v>13</v>
      </c>
      <c r="B15" s="11" t="s">
        <v>23</v>
      </c>
      <c r="C15" s="90">
        <v>9</v>
      </c>
      <c r="D15" s="90">
        <v>11</v>
      </c>
      <c r="E15" s="28">
        <v>0</v>
      </c>
      <c r="F15" s="32">
        <f t="shared" si="0"/>
        <v>7</v>
      </c>
      <c r="G15" s="89">
        <v>4</v>
      </c>
      <c r="H15" s="89">
        <v>1</v>
      </c>
      <c r="I15" s="26">
        <f t="shared" si="1"/>
        <v>58</v>
      </c>
      <c r="J15" s="26">
        <f t="shared" si="2"/>
        <v>1.1990595611285266</v>
      </c>
    </row>
    <row r="16" spans="1:10" ht="15.75">
      <c r="A16" s="52">
        <v>14</v>
      </c>
      <c r="B16" s="11" t="s">
        <v>18</v>
      </c>
      <c r="C16" s="90">
        <v>6</v>
      </c>
      <c r="D16" s="90">
        <v>7</v>
      </c>
      <c r="E16" s="28">
        <v>0</v>
      </c>
      <c r="F16" s="32">
        <f t="shared" si="0"/>
        <v>7</v>
      </c>
      <c r="G16" s="89">
        <v>2</v>
      </c>
      <c r="H16" s="89">
        <v>2</v>
      </c>
      <c r="I16" s="26">
        <f t="shared" si="1"/>
        <v>58</v>
      </c>
      <c r="J16" s="26">
        <f t="shared" si="2"/>
        <v>1.1773399014778325</v>
      </c>
    </row>
    <row r="17" spans="1:10" ht="15.75">
      <c r="A17" s="52">
        <v>15</v>
      </c>
      <c r="B17" s="11" t="s">
        <v>33</v>
      </c>
      <c r="C17" s="90">
        <v>6</v>
      </c>
      <c r="D17" s="90">
        <v>7</v>
      </c>
      <c r="E17" s="28">
        <v>0</v>
      </c>
      <c r="F17" s="32">
        <f t="shared" si="0"/>
        <v>7</v>
      </c>
      <c r="G17" s="89">
        <v>2</v>
      </c>
      <c r="H17" s="89">
        <v>1</v>
      </c>
      <c r="I17" s="26">
        <f t="shared" si="1"/>
        <v>58</v>
      </c>
      <c r="J17" s="26">
        <f t="shared" si="2"/>
        <v>1.1600985221674875</v>
      </c>
    </row>
    <row r="18" spans="1:10" ht="15.75">
      <c r="A18" s="52">
        <v>16</v>
      </c>
      <c r="B18" s="11" t="s">
        <v>22</v>
      </c>
      <c r="C18" s="90">
        <v>13</v>
      </c>
      <c r="D18" s="90">
        <v>15</v>
      </c>
      <c r="E18" s="28">
        <v>0</v>
      </c>
      <c r="F18" s="32">
        <f t="shared" si="0"/>
        <v>7</v>
      </c>
      <c r="G18" s="89">
        <v>3</v>
      </c>
      <c r="H18" s="89">
        <v>0</v>
      </c>
      <c r="I18" s="26">
        <f t="shared" si="1"/>
        <v>58</v>
      </c>
      <c r="J18" s="26">
        <f t="shared" si="2"/>
        <v>1.0666666666666667</v>
      </c>
    </row>
    <row r="19" spans="1:10" ht="15.75">
      <c r="A19" s="52">
        <v>17</v>
      </c>
      <c r="B19" s="11" t="s">
        <v>6</v>
      </c>
      <c r="C19" s="90">
        <v>10</v>
      </c>
      <c r="D19" s="90">
        <v>11</v>
      </c>
      <c r="E19" s="28">
        <v>0</v>
      </c>
      <c r="F19" s="32">
        <f t="shared" si="0"/>
        <v>7</v>
      </c>
      <c r="G19" s="89">
        <v>1</v>
      </c>
      <c r="H19" s="89">
        <v>1</v>
      </c>
      <c r="I19" s="26">
        <f t="shared" si="1"/>
        <v>58</v>
      </c>
      <c r="J19" s="26">
        <f t="shared" si="2"/>
        <v>1.0172413793103448</v>
      </c>
    </row>
    <row r="20" spans="1:10" ht="15.75">
      <c r="A20" s="52">
        <v>18</v>
      </c>
      <c r="B20" s="11" t="s">
        <v>25</v>
      </c>
      <c r="C20" s="90">
        <v>5</v>
      </c>
      <c r="D20" s="90">
        <v>7</v>
      </c>
      <c r="E20" s="28">
        <v>0</v>
      </c>
      <c r="F20" s="32">
        <f t="shared" si="0"/>
        <v>7</v>
      </c>
      <c r="G20" s="89">
        <v>2</v>
      </c>
      <c r="H20" s="89">
        <v>1</v>
      </c>
      <c r="I20" s="26">
        <f t="shared" si="1"/>
        <v>58</v>
      </c>
      <c r="J20" s="26">
        <f t="shared" si="2"/>
        <v>1.0172413793103448</v>
      </c>
    </row>
    <row r="21" spans="1:10" ht="15.75">
      <c r="A21" s="52">
        <v>19</v>
      </c>
      <c r="B21" s="11" t="s">
        <v>32</v>
      </c>
      <c r="C21" s="90">
        <v>7</v>
      </c>
      <c r="D21" s="90">
        <v>9</v>
      </c>
      <c r="E21" s="28">
        <v>0</v>
      </c>
      <c r="F21" s="32">
        <f t="shared" si="0"/>
        <v>7</v>
      </c>
      <c r="G21" s="89">
        <v>2</v>
      </c>
      <c r="H21" s="89">
        <v>0</v>
      </c>
      <c r="I21" s="26">
        <f t="shared" si="1"/>
        <v>58</v>
      </c>
      <c r="J21" s="26">
        <f t="shared" si="2"/>
        <v>1</v>
      </c>
    </row>
    <row r="22" spans="1:10" ht="27.75" customHeight="1">
      <c r="A22" s="52">
        <v>20</v>
      </c>
      <c r="B22" s="11" t="s">
        <v>28</v>
      </c>
      <c r="C22" s="90">
        <v>7</v>
      </c>
      <c r="D22" s="90">
        <v>10</v>
      </c>
      <c r="E22" s="28">
        <v>0</v>
      </c>
      <c r="F22" s="32">
        <f t="shared" si="0"/>
        <v>7</v>
      </c>
      <c r="G22" s="89">
        <v>3</v>
      </c>
      <c r="H22" s="89">
        <v>0</v>
      </c>
      <c r="I22" s="26">
        <f t="shared" si="1"/>
        <v>58</v>
      </c>
      <c r="J22" s="26">
        <f t="shared" si="2"/>
        <v>1</v>
      </c>
    </row>
    <row r="23" spans="1:10" ht="21" customHeight="1">
      <c r="A23" s="52">
        <v>21</v>
      </c>
      <c r="B23" s="11" t="s">
        <v>15</v>
      </c>
      <c r="C23" s="90">
        <v>23</v>
      </c>
      <c r="D23" s="90">
        <v>32</v>
      </c>
      <c r="E23" s="28">
        <v>1</v>
      </c>
      <c r="F23" s="32">
        <f t="shared" si="0"/>
        <v>7</v>
      </c>
      <c r="G23" s="89">
        <v>3</v>
      </c>
      <c r="H23" s="89">
        <v>2</v>
      </c>
      <c r="I23" s="26">
        <f t="shared" si="1"/>
        <v>58</v>
      </c>
      <c r="J23" s="26">
        <f t="shared" si="2"/>
        <v>0.9898399014778324</v>
      </c>
    </row>
    <row r="24" spans="1:10" ht="19.5" customHeight="1">
      <c r="A24" s="52">
        <v>22</v>
      </c>
      <c r="B24" s="11" t="s">
        <v>31</v>
      </c>
      <c r="C24" s="90">
        <v>10</v>
      </c>
      <c r="D24" s="90">
        <v>13</v>
      </c>
      <c r="E24" s="28">
        <v>0</v>
      </c>
      <c r="F24" s="32">
        <f t="shared" si="0"/>
        <v>7</v>
      </c>
      <c r="G24" s="89">
        <v>2</v>
      </c>
      <c r="H24" s="89">
        <v>3</v>
      </c>
      <c r="I24" s="26">
        <f t="shared" si="1"/>
        <v>58</v>
      </c>
      <c r="J24" s="26">
        <f t="shared" si="2"/>
        <v>0.9748010610079576</v>
      </c>
    </row>
    <row r="25" spans="1:10" ht="15.75">
      <c r="A25" s="52">
        <v>23</v>
      </c>
      <c r="B25" s="11" t="s">
        <v>24</v>
      </c>
      <c r="C25" s="90">
        <v>8</v>
      </c>
      <c r="D25" s="90">
        <v>12</v>
      </c>
      <c r="E25" s="28">
        <v>0</v>
      </c>
      <c r="F25" s="32">
        <f t="shared" si="0"/>
        <v>7</v>
      </c>
      <c r="G25" s="89">
        <v>3</v>
      </c>
      <c r="H25" s="89">
        <v>0</v>
      </c>
      <c r="I25" s="26">
        <f t="shared" si="1"/>
        <v>58</v>
      </c>
      <c r="J25" s="26">
        <f t="shared" si="2"/>
        <v>0.9166666666666666</v>
      </c>
    </row>
    <row r="26" spans="1:10" ht="14.25" customHeight="1">
      <c r="A26" s="52">
        <v>24</v>
      </c>
      <c r="B26" s="11" t="s">
        <v>132</v>
      </c>
      <c r="C26" s="90">
        <v>6</v>
      </c>
      <c r="D26" s="90">
        <v>7</v>
      </c>
      <c r="E26" s="28">
        <v>0</v>
      </c>
      <c r="F26" s="32">
        <f t="shared" si="0"/>
        <v>7</v>
      </c>
      <c r="G26" s="89">
        <v>0</v>
      </c>
      <c r="H26" s="89">
        <v>0</v>
      </c>
      <c r="I26" s="26">
        <f t="shared" si="1"/>
        <v>58</v>
      </c>
      <c r="J26" s="26">
        <f t="shared" si="2"/>
        <v>0.8571428571428571</v>
      </c>
    </row>
    <row r="27" spans="1:10" ht="21" customHeight="1">
      <c r="A27" s="52">
        <v>25</v>
      </c>
      <c r="B27" s="11" t="s">
        <v>26</v>
      </c>
      <c r="C27" s="90">
        <v>6</v>
      </c>
      <c r="D27" s="90">
        <v>10</v>
      </c>
      <c r="E27" s="28">
        <v>0</v>
      </c>
      <c r="F27" s="32">
        <f t="shared" si="0"/>
        <v>7</v>
      </c>
      <c r="G27" s="89">
        <v>2</v>
      </c>
      <c r="H27" s="89">
        <v>1</v>
      </c>
      <c r="I27" s="26">
        <f t="shared" si="1"/>
        <v>58</v>
      </c>
      <c r="J27" s="26">
        <f t="shared" si="2"/>
        <v>0.8172413793103449</v>
      </c>
    </row>
    <row r="28" spans="1:10" ht="31.5">
      <c r="A28" s="52">
        <v>26</v>
      </c>
      <c r="B28" s="11" t="s">
        <v>5</v>
      </c>
      <c r="C28" s="90">
        <v>10</v>
      </c>
      <c r="D28" s="90">
        <v>15</v>
      </c>
      <c r="E28" s="28">
        <v>0</v>
      </c>
      <c r="F28" s="32">
        <f t="shared" si="0"/>
        <v>7</v>
      </c>
      <c r="G28" s="89">
        <v>1</v>
      </c>
      <c r="H28" s="89">
        <v>1</v>
      </c>
      <c r="I28" s="26">
        <f t="shared" si="1"/>
        <v>58</v>
      </c>
      <c r="J28" s="26">
        <f t="shared" si="2"/>
        <v>0.7505747126436781</v>
      </c>
    </row>
    <row r="29" spans="1:10" ht="18.75" customHeight="1">
      <c r="A29" s="52">
        <v>27</v>
      </c>
      <c r="B29" s="11" t="s">
        <v>8</v>
      </c>
      <c r="C29" s="90">
        <v>6</v>
      </c>
      <c r="D29" s="90">
        <v>11</v>
      </c>
      <c r="E29" s="28">
        <v>0</v>
      </c>
      <c r="F29" s="32">
        <f t="shared" si="0"/>
        <v>7</v>
      </c>
      <c r="G29" s="89">
        <v>2</v>
      </c>
      <c r="H29" s="89">
        <v>1</v>
      </c>
      <c r="I29" s="26">
        <f t="shared" si="1"/>
        <v>58</v>
      </c>
      <c r="J29" s="26">
        <f t="shared" si="2"/>
        <v>0.7445141065830722</v>
      </c>
    </row>
    <row r="30" spans="1:10" ht="14.25" customHeight="1">
      <c r="A30" s="52">
        <v>28</v>
      </c>
      <c r="B30" s="11" t="s">
        <v>13</v>
      </c>
      <c r="C30" s="90">
        <v>11</v>
      </c>
      <c r="D30" s="90">
        <v>18</v>
      </c>
      <c r="E30" s="28">
        <v>0</v>
      </c>
      <c r="F30" s="32">
        <f t="shared" si="0"/>
        <v>7</v>
      </c>
      <c r="G30" s="89">
        <v>2</v>
      </c>
      <c r="H30" s="89">
        <v>1</v>
      </c>
      <c r="I30" s="26">
        <f t="shared" si="1"/>
        <v>58</v>
      </c>
      <c r="J30" s="26">
        <f t="shared" si="2"/>
        <v>0.7394636015325672</v>
      </c>
    </row>
    <row r="31" spans="1:10" ht="13.5" customHeight="1">
      <c r="A31" s="52">
        <v>29</v>
      </c>
      <c r="B31" s="11" t="s">
        <v>19</v>
      </c>
      <c r="C31" s="90">
        <v>16</v>
      </c>
      <c r="D31" s="90">
        <v>22</v>
      </c>
      <c r="E31" s="28">
        <v>0</v>
      </c>
      <c r="F31" s="32">
        <f t="shared" si="0"/>
        <v>7</v>
      </c>
      <c r="G31" s="89">
        <v>0</v>
      </c>
      <c r="H31" s="89">
        <v>0</v>
      </c>
      <c r="I31" s="26">
        <f t="shared" si="1"/>
        <v>58</v>
      </c>
      <c r="J31" s="26">
        <f t="shared" si="2"/>
        <v>0.7272727272727273</v>
      </c>
    </row>
    <row r="32" spans="1:10" ht="15.75">
      <c r="A32" s="52">
        <v>30</v>
      </c>
      <c r="B32" s="11" t="s">
        <v>12</v>
      </c>
      <c r="C32" s="90">
        <v>8</v>
      </c>
      <c r="D32" s="90">
        <v>17</v>
      </c>
      <c r="E32" s="28">
        <v>1</v>
      </c>
      <c r="F32" s="32">
        <f t="shared" si="0"/>
        <v>7</v>
      </c>
      <c r="G32" s="89">
        <v>0</v>
      </c>
      <c r="H32" s="89">
        <v>0</v>
      </c>
      <c r="I32" s="26">
        <f t="shared" si="1"/>
        <v>58</v>
      </c>
      <c r="J32" s="26">
        <f t="shared" si="2"/>
        <v>0.6134453781512605</v>
      </c>
    </row>
    <row r="33" spans="1:10" ht="17.25" customHeight="1">
      <c r="A33" s="52">
        <v>31</v>
      </c>
      <c r="B33" s="11" t="s">
        <v>30</v>
      </c>
      <c r="C33" s="90">
        <v>5</v>
      </c>
      <c r="D33" s="90">
        <v>9</v>
      </c>
      <c r="E33" s="28">
        <v>0</v>
      </c>
      <c r="F33" s="32">
        <f t="shared" si="0"/>
        <v>7</v>
      </c>
      <c r="G33" s="89">
        <v>0</v>
      </c>
      <c r="H33" s="89">
        <v>2</v>
      </c>
      <c r="I33" s="26">
        <f t="shared" si="1"/>
        <v>58</v>
      </c>
      <c r="J33" s="26">
        <f t="shared" si="2"/>
        <v>0.5900383141762452</v>
      </c>
    </row>
    <row r="34" spans="1:10" ht="15.75">
      <c r="A34" s="52">
        <v>32</v>
      </c>
      <c r="B34" s="11" t="s">
        <v>34</v>
      </c>
      <c r="C34" s="90">
        <v>5</v>
      </c>
      <c r="D34" s="90">
        <v>12</v>
      </c>
      <c r="E34" s="28">
        <v>0</v>
      </c>
      <c r="F34" s="32">
        <f t="shared" si="0"/>
        <v>7</v>
      </c>
      <c r="G34" s="89">
        <v>1</v>
      </c>
      <c r="H34" s="89">
        <v>2</v>
      </c>
      <c r="I34" s="26">
        <f t="shared" si="1"/>
        <v>58</v>
      </c>
      <c r="J34" s="26">
        <f t="shared" si="2"/>
        <v>0.5344827586206896</v>
      </c>
    </row>
    <row r="35" spans="1:10" ht="15.75">
      <c r="A35" s="52">
        <v>33</v>
      </c>
      <c r="B35" s="11" t="s">
        <v>35</v>
      </c>
      <c r="C35" s="90">
        <v>1</v>
      </c>
      <c r="D35" s="90">
        <v>5</v>
      </c>
      <c r="E35" s="28">
        <v>0</v>
      </c>
      <c r="F35" s="32">
        <f t="shared" si="0"/>
        <v>7</v>
      </c>
      <c r="G35" s="89">
        <v>0</v>
      </c>
      <c r="H35" s="89">
        <v>0</v>
      </c>
      <c r="I35" s="26">
        <f t="shared" si="1"/>
        <v>58</v>
      </c>
      <c r="J35" s="26">
        <f t="shared" si="2"/>
        <v>0.2</v>
      </c>
    </row>
    <row r="36" spans="1:10" ht="15.75">
      <c r="A36" s="23"/>
      <c r="B36" s="21" t="s">
        <v>56</v>
      </c>
      <c r="C36" s="15"/>
      <c r="D36" s="15"/>
      <c r="E36" s="119">
        <f>SUM(E3:E35)</f>
        <v>7</v>
      </c>
      <c r="F36" s="118"/>
      <c r="G36" s="37">
        <f>SUM(G3:G35)</f>
        <v>112</v>
      </c>
      <c r="H36" s="37">
        <f>SUM(H3:H35)</f>
        <v>58</v>
      </c>
      <c r="I36" s="17"/>
      <c r="J36" s="17"/>
    </row>
    <row r="37" spans="2:5" ht="40.5">
      <c r="B37" s="72" t="s">
        <v>43</v>
      </c>
      <c r="C37" s="5"/>
      <c r="D37" s="5"/>
      <c r="E37" s="5"/>
    </row>
    <row r="38" spans="1:10" ht="208.5" customHeight="1">
      <c r="A38" s="52" t="s">
        <v>110</v>
      </c>
      <c r="B38" s="66" t="s">
        <v>156</v>
      </c>
      <c r="C38" s="65" t="s">
        <v>79</v>
      </c>
      <c r="D38" s="65" t="s">
        <v>80</v>
      </c>
      <c r="E38" s="65" t="s">
        <v>84</v>
      </c>
      <c r="F38" s="65" t="s">
        <v>81</v>
      </c>
      <c r="G38" s="65" t="s">
        <v>82</v>
      </c>
      <c r="H38" s="65" t="s">
        <v>83</v>
      </c>
      <c r="I38" s="65" t="s">
        <v>86</v>
      </c>
      <c r="J38" s="65" t="s">
        <v>157</v>
      </c>
    </row>
    <row r="39" spans="1:10" ht="15.75">
      <c r="A39" s="52">
        <v>1</v>
      </c>
      <c r="B39" s="3" t="s">
        <v>37</v>
      </c>
      <c r="C39" s="28">
        <v>95</v>
      </c>
      <c r="D39" s="28">
        <v>132</v>
      </c>
      <c r="E39" s="28">
        <v>3</v>
      </c>
      <c r="F39" s="32">
        <f>$E$43</f>
        <v>7</v>
      </c>
      <c r="G39" s="32">
        <v>33</v>
      </c>
      <c r="H39" s="32">
        <v>16</v>
      </c>
      <c r="I39" s="26">
        <f>$H$43</f>
        <v>58</v>
      </c>
      <c r="J39" s="26">
        <f>(C39/D39)+(E39/F39)+(G39/D39)+(H39/I39)</f>
        <v>1.6741304672339155</v>
      </c>
    </row>
    <row r="40" spans="1:10" ht="15.75">
      <c r="A40" s="52">
        <v>2</v>
      </c>
      <c r="B40" s="3" t="s">
        <v>36</v>
      </c>
      <c r="C40" s="28">
        <v>85</v>
      </c>
      <c r="D40" s="28">
        <v>98</v>
      </c>
      <c r="E40" s="28">
        <v>1</v>
      </c>
      <c r="F40" s="32">
        <f>$E$43</f>
        <v>7</v>
      </c>
      <c r="G40" s="32">
        <v>22</v>
      </c>
      <c r="H40" s="32">
        <v>19</v>
      </c>
      <c r="I40" s="26">
        <f>$H$43</f>
        <v>58</v>
      </c>
      <c r="J40" s="26">
        <f>(C40/D40)+(E40/F40)+(G40/D40)+(H40/I40)</f>
        <v>1.562280084447572</v>
      </c>
    </row>
    <row r="41" spans="1:10" ht="31.5">
      <c r="A41" s="52">
        <v>3</v>
      </c>
      <c r="B41" s="3" t="s">
        <v>39</v>
      </c>
      <c r="C41" s="28">
        <v>77</v>
      </c>
      <c r="D41" s="28">
        <v>112</v>
      </c>
      <c r="E41" s="28">
        <v>2</v>
      </c>
      <c r="F41" s="32">
        <f>$E$43</f>
        <v>7</v>
      </c>
      <c r="G41" s="32">
        <v>31</v>
      </c>
      <c r="H41" s="32">
        <v>13</v>
      </c>
      <c r="I41" s="26">
        <f>$H$43</f>
        <v>58</v>
      </c>
      <c r="J41" s="26">
        <f>(C41/D41)+(E41/F41)+(G41/D41)+(H41/I41)</f>
        <v>1.4741379310344827</v>
      </c>
    </row>
    <row r="42" spans="1:10" ht="31.5">
      <c r="A42" s="52">
        <v>4</v>
      </c>
      <c r="B42" s="3" t="s">
        <v>38</v>
      </c>
      <c r="C42" s="28">
        <v>67</v>
      </c>
      <c r="D42" s="28">
        <v>93</v>
      </c>
      <c r="E42" s="28">
        <v>1</v>
      </c>
      <c r="F42" s="32">
        <f>$E$43</f>
        <v>7</v>
      </c>
      <c r="G42" s="32">
        <v>26</v>
      </c>
      <c r="H42" s="32">
        <v>10</v>
      </c>
      <c r="I42" s="26">
        <f>$H$43</f>
        <v>58</v>
      </c>
      <c r="J42" s="26">
        <f>(C42/D42)+(E42/F42)+(G42/D42)+(H42/I42)</f>
        <v>1.3152709359605912</v>
      </c>
    </row>
    <row r="43" spans="1:10" ht="15.75">
      <c r="A43" s="23"/>
      <c r="B43" s="23"/>
      <c r="C43" s="118"/>
      <c r="D43" s="118"/>
      <c r="E43" s="134">
        <f>SUM(E39:E42)</f>
        <v>7</v>
      </c>
      <c r="F43" s="118"/>
      <c r="G43" s="37">
        <f>SUM(G39:G42)</f>
        <v>112</v>
      </c>
      <c r="H43" s="37">
        <f>SUM(H39:H42)</f>
        <v>58</v>
      </c>
      <c r="I43" s="23"/>
      <c r="J43" s="23"/>
    </row>
    <row r="44" ht="15.75">
      <c r="C44" s="7"/>
    </row>
    <row r="45" ht="15.75">
      <c r="C45" s="7"/>
    </row>
  </sheetData>
  <sheetProtection/>
  <printOptions/>
  <pageMargins left="0.41" right="0.27" top="0.2" bottom="0.09" header="0.2" footer="0.15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="65" zoomScaleNormal="65" zoomScalePageLayoutView="0" workbookViewId="0" topLeftCell="A1">
      <selection activeCell="E24" sqref="E24"/>
    </sheetView>
  </sheetViews>
  <sheetFormatPr defaultColWidth="9.00390625" defaultRowHeight="12.75"/>
  <cols>
    <col min="1" max="1" width="6.75390625" style="0" customWidth="1"/>
    <col min="2" max="2" width="62.875" style="0" customWidth="1"/>
    <col min="3" max="3" width="14.875" style="0" customWidth="1"/>
    <col min="4" max="4" width="22.00390625" style="0" customWidth="1"/>
    <col min="5" max="5" width="19.125" style="0" customWidth="1"/>
    <col min="6" max="6" width="15.75390625" style="0" customWidth="1"/>
    <col min="7" max="7" width="13.00390625" style="0" customWidth="1"/>
    <col min="8" max="8" width="13.375" style="0" customWidth="1"/>
  </cols>
  <sheetData>
    <row r="1" spans="1:8" ht="36" customHeight="1">
      <c r="A1" s="2"/>
      <c r="B1" s="72" t="s">
        <v>151</v>
      </c>
      <c r="C1" s="2"/>
      <c r="D1" s="2"/>
      <c r="E1" s="2"/>
      <c r="F1" s="2"/>
      <c r="G1" s="2"/>
      <c r="H1" s="2"/>
    </row>
    <row r="2" spans="1:8" ht="130.5" customHeight="1">
      <c r="A2" s="52" t="s">
        <v>110</v>
      </c>
      <c r="B2" s="73" t="s">
        <v>0</v>
      </c>
      <c r="C2" s="73" t="s">
        <v>74</v>
      </c>
      <c r="D2" s="73" t="s">
        <v>91</v>
      </c>
      <c r="E2" s="73" t="s">
        <v>96</v>
      </c>
      <c r="F2" s="73" t="s">
        <v>100</v>
      </c>
      <c r="G2" s="73" t="s">
        <v>107</v>
      </c>
      <c r="H2" s="74" t="s">
        <v>108</v>
      </c>
    </row>
    <row r="3" spans="1:8" ht="16.5" customHeight="1">
      <c r="A3" s="52">
        <v>1</v>
      </c>
      <c r="B3" s="3" t="s">
        <v>15</v>
      </c>
      <c r="C3" s="26">
        <v>0.32</v>
      </c>
      <c r="D3" s="41">
        <v>0.31</v>
      </c>
      <c r="E3" s="26">
        <v>0.63</v>
      </c>
      <c r="F3" s="26">
        <v>0.52</v>
      </c>
      <c r="G3" s="26">
        <v>0.18</v>
      </c>
      <c r="H3" s="41">
        <f aca="true" t="shared" si="0" ref="H3:H27">C3+D3+E3+F3+G3</f>
        <v>1.96</v>
      </c>
    </row>
    <row r="4" spans="1:8" ht="17.25" customHeight="1">
      <c r="A4" s="52">
        <v>2</v>
      </c>
      <c r="B4" s="3" t="s">
        <v>4</v>
      </c>
      <c r="C4" s="26">
        <v>0.13</v>
      </c>
      <c r="D4" s="41">
        <v>0.04</v>
      </c>
      <c r="E4" s="26">
        <v>0.85</v>
      </c>
      <c r="F4" s="26">
        <v>0.83</v>
      </c>
      <c r="G4" s="26">
        <v>0.04</v>
      </c>
      <c r="H4" s="41">
        <f t="shared" si="0"/>
        <v>1.8900000000000001</v>
      </c>
    </row>
    <row r="5" spans="1:8" ht="16.5" customHeight="1">
      <c r="A5" s="52">
        <v>3</v>
      </c>
      <c r="B5" s="3" t="s">
        <v>14</v>
      </c>
      <c r="C5" s="26">
        <v>0.42</v>
      </c>
      <c r="D5" s="41">
        <v>0.25</v>
      </c>
      <c r="E5" s="26">
        <v>0.52</v>
      </c>
      <c r="F5" s="26">
        <v>0.37</v>
      </c>
      <c r="G5" s="26">
        <v>0.09</v>
      </c>
      <c r="H5" s="41">
        <f t="shared" si="0"/>
        <v>1.6500000000000001</v>
      </c>
    </row>
    <row r="6" spans="1:8" ht="16.5" customHeight="1">
      <c r="A6" s="52">
        <v>4</v>
      </c>
      <c r="B6" s="3" t="s">
        <v>31</v>
      </c>
      <c r="C6" s="26">
        <v>0.11</v>
      </c>
      <c r="D6" s="41">
        <v>0.13</v>
      </c>
      <c r="E6" s="26">
        <v>0.62</v>
      </c>
      <c r="F6" s="26">
        <v>0.46</v>
      </c>
      <c r="G6" s="26">
        <v>0.08</v>
      </c>
      <c r="H6" s="41">
        <f t="shared" si="0"/>
        <v>1.4000000000000001</v>
      </c>
    </row>
    <row r="7" spans="1:8" ht="16.5" customHeight="1">
      <c r="A7" s="52">
        <v>5</v>
      </c>
      <c r="B7" s="3" t="s">
        <v>9</v>
      </c>
      <c r="C7" s="26">
        <v>0.26</v>
      </c>
      <c r="D7" s="41">
        <v>0.15</v>
      </c>
      <c r="E7" s="26">
        <v>0.47</v>
      </c>
      <c r="F7" s="26">
        <v>0.36</v>
      </c>
      <c r="G7" s="26">
        <v>0.11</v>
      </c>
      <c r="H7" s="41">
        <f t="shared" si="0"/>
        <v>1.35</v>
      </c>
    </row>
    <row r="8" spans="1:8" ht="16.5" customHeight="1">
      <c r="A8" s="52">
        <v>6</v>
      </c>
      <c r="B8" s="3" t="s">
        <v>12</v>
      </c>
      <c r="C8" s="26">
        <v>0.23</v>
      </c>
      <c r="D8" s="41">
        <v>0.15</v>
      </c>
      <c r="E8" s="26">
        <v>0.32</v>
      </c>
      <c r="F8" s="26">
        <v>0.18</v>
      </c>
      <c r="G8" s="26">
        <v>0.47</v>
      </c>
      <c r="H8" s="41">
        <f t="shared" si="0"/>
        <v>1.3499999999999999</v>
      </c>
    </row>
    <row r="9" spans="1:8" ht="16.5" customHeight="1">
      <c r="A9" s="52">
        <v>7</v>
      </c>
      <c r="B9" s="3" t="s">
        <v>29</v>
      </c>
      <c r="C9" s="26">
        <v>0.38</v>
      </c>
      <c r="D9" s="41">
        <v>0.21</v>
      </c>
      <c r="E9" s="26">
        <v>0.41</v>
      </c>
      <c r="F9" s="26">
        <v>0.29</v>
      </c>
      <c r="G9" s="26">
        <v>0.04</v>
      </c>
      <c r="H9" s="41">
        <f t="shared" si="0"/>
        <v>1.33</v>
      </c>
    </row>
    <row r="10" spans="1:8" ht="16.5" customHeight="1">
      <c r="A10" s="52">
        <v>8</v>
      </c>
      <c r="B10" s="3" t="s">
        <v>13</v>
      </c>
      <c r="C10" s="26">
        <v>0.26</v>
      </c>
      <c r="D10" s="41">
        <v>0.17</v>
      </c>
      <c r="E10" s="26">
        <v>0.47</v>
      </c>
      <c r="F10" s="26">
        <v>0.29</v>
      </c>
      <c r="G10" s="26">
        <v>0.14</v>
      </c>
      <c r="H10" s="41">
        <f t="shared" si="0"/>
        <v>1.33</v>
      </c>
    </row>
    <row r="11" spans="1:8" ht="16.5" customHeight="1">
      <c r="A11" s="52">
        <v>9</v>
      </c>
      <c r="B11" s="3" t="s">
        <v>131</v>
      </c>
      <c r="C11" s="26">
        <v>0.08</v>
      </c>
      <c r="D11" s="41">
        <v>0.03</v>
      </c>
      <c r="E11" s="26">
        <v>0.56</v>
      </c>
      <c r="F11" s="26">
        <v>0.52</v>
      </c>
      <c r="G11" s="26">
        <v>0.1</v>
      </c>
      <c r="H11" s="41">
        <f t="shared" si="0"/>
        <v>1.29</v>
      </c>
    </row>
    <row r="12" spans="1:8" ht="16.5" customHeight="1">
      <c r="A12" s="52">
        <v>10</v>
      </c>
      <c r="B12" s="3" t="s">
        <v>22</v>
      </c>
      <c r="C12" s="26">
        <v>0.32</v>
      </c>
      <c r="D12" s="41">
        <v>0.07</v>
      </c>
      <c r="E12" s="26">
        <v>0.35</v>
      </c>
      <c r="F12" s="26">
        <v>0.24</v>
      </c>
      <c r="G12" s="26">
        <v>0.24</v>
      </c>
      <c r="H12" s="41">
        <f t="shared" si="0"/>
        <v>1.22</v>
      </c>
    </row>
    <row r="13" spans="1:8" ht="16.5" customHeight="1">
      <c r="A13" s="52">
        <v>11</v>
      </c>
      <c r="B13" s="3" t="s">
        <v>8</v>
      </c>
      <c r="C13" s="26">
        <v>0.33</v>
      </c>
      <c r="D13" s="41">
        <v>0.1</v>
      </c>
      <c r="E13" s="26">
        <v>0.4</v>
      </c>
      <c r="F13" s="26">
        <v>0.22</v>
      </c>
      <c r="G13" s="26">
        <v>0.16</v>
      </c>
      <c r="H13" s="41">
        <f t="shared" si="0"/>
        <v>1.21</v>
      </c>
    </row>
    <row r="14" spans="1:8" ht="16.5" customHeight="1">
      <c r="A14" s="52">
        <v>12</v>
      </c>
      <c r="B14" s="3" t="s">
        <v>16</v>
      </c>
      <c r="C14" s="26">
        <v>0.55</v>
      </c>
      <c r="D14" s="41">
        <v>0.13</v>
      </c>
      <c r="E14" s="26">
        <v>0.31</v>
      </c>
      <c r="F14" s="26">
        <v>0.15</v>
      </c>
      <c r="G14" s="26">
        <v>0.07</v>
      </c>
      <c r="H14" s="41">
        <f t="shared" si="0"/>
        <v>1.21</v>
      </c>
    </row>
    <row r="15" spans="1:8" ht="16.5" customHeight="1">
      <c r="A15" s="52">
        <v>13</v>
      </c>
      <c r="B15" s="3" t="s">
        <v>20</v>
      </c>
      <c r="C15" s="26">
        <v>0.56</v>
      </c>
      <c r="D15" s="41">
        <v>0.08</v>
      </c>
      <c r="E15" s="26">
        <v>0.31</v>
      </c>
      <c r="F15" s="26">
        <v>0.17</v>
      </c>
      <c r="G15" s="26">
        <v>0.07</v>
      </c>
      <c r="H15" s="41">
        <f t="shared" si="0"/>
        <v>1.19</v>
      </c>
    </row>
    <row r="16" spans="1:8" ht="16.5" customHeight="1">
      <c r="A16" s="52">
        <v>14</v>
      </c>
      <c r="B16" s="3" t="s">
        <v>5</v>
      </c>
      <c r="C16" s="26">
        <v>0.46</v>
      </c>
      <c r="D16" s="41">
        <v>0.09</v>
      </c>
      <c r="E16" s="26">
        <v>0.33</v>
      </c>
      <c r="F16" s="26">
        <v>0.2</v>
      </c>
      <c r="G16" s="26">
        <v>0.07</v>
      </c>
      <c r="H16" s="41">
        <f t="shared" si="0"/>
        <v>1.1500000000000001</v>
      </c>
    </row>
    <row r="17" spans="1:8" ht="16.5" customHeight="1">
      <c r="A17" s="52">
        <v>15</v>
      </c>
      <c r="B17" s="3" t="s">
        <v>26</v>
      </c>
      <c r="C17" s="26">
        <v>0.58</v>
      </c>
      <c r="D17" s="41">
        <v>0.1</v>
      </c>
      <c r="E17" s="26">
        <v>0.29</v>
      </c>
      <c r="F17" s="26">
        <v>0.14</v>
      </c>
      <c r="G17" s="26">
        <v>0.04</v>
      </c>
      <c r="H17" s="41">
        <f t="shared" si="0"/>
        <v>1.15</v>
      </c>
    </row>
    <row r="18" spans="1:8" ht="16.5" customHeight="1">
      <c r="A18" s="52">
        <v>16</v>
      </c>
      <c r="B18" s="3" t="s">
        <v>27</v>
      </c>
      <c r="C18" s="26">
        <v>0.23</v>
      </c>
      <c r="D18" s="41">
        <v>0.26</v>
      </c>
      <c r="E18" s="26">
        <v>0.33</v>
      </c>
      <c r="F18" s="26">
        <v>0.2</v>
      </c>
      <c r="G18" s="26">
        <v>0.08</v>
      </c>
      <c r="H18" s="41">
        <f t="shared" si="0"/>
        <v>1.1</v>
      </c>
    </row>
    <row r="19" spans="1:8" ht="16.5" customHeight="1">
      <c r="A19" s="52">
        <v>17</v>
      </c>
      <c r="B19" s="3" t="s">
        <v>23</v>
      </c>
      <c r="C19" s="26">
        <v>0.33</v>
      </c>
      <c r="D19" s="41">
        <v>0.05</v>
      </c>
      <c r="E19" s="26">
        <v>0.35</v>
      </c>
      <c r="F19" s="26">
        <v>0.24</v>
      </c>
      <c r="G19" s="26">
        <v>0.09</v>
      </c>
      <c r="H19" s="41">
        <f t="shared" si="0"/>
        <v>1.06</v>
      </c>
    </row>
    <row r="20" spans="1:8" ht="16.5" customHeight="1">
      <c r="A20" s="52">
        <v>18</v>
      </c>
      <c r="B20" s="3" t="s">
        <v>10</v>
      </c>
      <c r="C20" s="26">
        <v>0.1</v>
      </c>
      <c r="D20" s="41">
        <v>0.05</v>
      </c>
      <c r="E20" s="26">
        <v>0.39</v>
      </c>
      <c r="F20" s="26">
        <v>0.33</v>
      </c>
      <c r="G20" s="26">
        <v>0.17</v>
      </c>
      <c r="H20" s="41">
        <f t="shared" si="0"/>
        <v>1.04</v>
      </c>
    </row>
    <row r="21" spans="1:8" ht="16.5" customHeight="1">
      <c r="A21" s="52">
        <v>19</v>
      </c>
      <c r="B21" s="3" t="s">
        <v>34</v>
      </c>
      <c r="C21" s="26">
        <v>0.24</v>
      </c>
      <c r="D21" s="41">
        <v>0.16</v>
      </c>
      <c r="E21" s="26">
        <v>0.42</v>
      </c>
      <c r="F21" s="26">
        <v>0.09</v>
      </c>
      <c r="G21" s="26">
        <v>0.06</v>
      </c>
      <c r="H21" s="41">
        <f t="shared" si="0"/>
        <v>0.97</v>
      </c>
    </row>
    <row r="22" spans="1:8" ht="16.5" customHeight="1">
      <c r="A22" s="52">
        <v>20</v>
      </c>
      <c r="B22" s="3" t="s">
        <v>21</v>
      </c>
      <c r="C22" s="26">
        <v>0.16</v>
      </c>
      <c r="D22" s="41">
        <v>0.16</v>
      </c>
      <c r="E22" s="26">
        <v>0.31</v>
      </c>
      <c r="F22" s="26">
        <v>0.19</v>
      </c>
      <c r="G22" s="26">
        <v>0.12</v>
      </c>
      <c r="H22" s="41">
        <f t="shared" si="0"/>
        <v>0.9400000000000001</v>
      </c>
    </row>
    <row r="23" spans="1:8" ht="16.5" customHeight="1">
      <c r="A23" s="52">
        <v>21</v>
      </c>
      <c r="B23" s="3" t="s">
        <v>32</v>
      </c>
      <c r="C23" s="26">
        <v>0.42</v>
      </c>
      <c r="D23" s="41">
        <v>0.08</v>
      </c>
      <c r="E23" s="26">
        <v>0.27</v>
      </c>
      <c r="F23" s="26">
        <v>0.07</v>
      </c>
      <c r="G23" s="26">
        <v>0.09</v>
      </c>
      <c r="H23" s="41">
        <f t="shared" si="0"/>
        <v>0.93</v>
      </c>
    </row>
    <row r="24" spans="1:8" ht="16.5" customHeight="1">
      <c r="A24" s="52">
        <v>22</v>
      </c>
      <c r="B24" s="3" t="s">
        <v>28</v>
      </c>
      <c r="C24" s="26">
        <v>0.3</v>
      </c>
      <c r="D24" s="41">
        <v>0.08</v>
      </c>
      <c r="E24" s="26">
        <v>0.24</v>
      </c>
      <c r="F24" s="26">
        <v>0.1</v>
      </c>
      <c r="G24" s="26">
        <v>0.19</v>
      </c>
      <c r="H24" s="41">
        <f t="shared" si="0"/>
        <v>0.9099999999999999</v>
      </c>
    </row>
    <row r="25" spans="1:8" ht="16.5" customHeight="1">
      <c r="A25" s="52">
        <v>23</v>
      </c>
      <c r="B25" s="3" t="s">
        <v>6</v>
      </c>
      <c r="C25" s="26">
        <v>0.09</v>
      </c>
      <c r="D25" s="41">
        <v>0.04</v>
      </c>
      <c r="E25" s="26">
        <v>0.34</v>
      </c>
      <c r="F25" s="26">
        <v>0.29</v>
      </c>
      <c r="G25" s="26">
        <v>0.11</v>
      </c>
      <c r="H25" s="41">
        <f t="shared" si="0"/>
        <v>0.87</v>
      </c>
    </row>
    <row r="26" spans="1:8" s="12" customFormat="1" ht="16.5" customHeight="1">
      <c r="A26" s="55">
        <v>24</v>
      </c>
      <c r="B26" s="11" t="s">
        <v>11</v>
      </c>
      <c r="C26" s="41">
        <v>0.1</v>
      </c>
      <c r="D26" s="41">
        <v>0.08</v>
      </c>
      <c r="E26" s="41">
        <v>0.31</v>
      </c>
      <c r="F26" s="41">
        <v>0.24</v>
      </c>
      <c r="G26" s="41">
        <v>0.09</v>
      </c>
      <c r="H26" s="41">
        <f t="shared" si="0"/>
        <v>0.82</v>
      </c>
    </row>
    <row r="27" spans="1:8" ht="16.5" customHeight="1">
      <c r="A27" s="52">
        <v>25</v>
      </c>
      <c r="B27" s="3" t="s">
        <v>30</v>
      </c>
      <c r="C27" s="26">
        <v>0.07</v>
      </c>
      <c r="D27" s="41">
        <v>0.03</v>
      </c>
      <c r="E27" s="26">
        <v>0.31</v>
      </c>
      <c r="F27" s="26">
        <v>0.25</v>
      </c>
      <c r="G27" s="26">
        <v>0.07</v>
      </c>
      <c r="H27" s="41">
        <f t="shared" si="0"/>
        <v>0.73</v>
      </c>
    </row>
    <row r="28" spans="1:8" ht="43.5" customHeight="1">
      <c r="A28" s="2"/>
      <c r="B28" s="72" t="s">
        <v>152</v>
      </c>
      <c r="C28" s="2"/>
      <c r="D28" s="70"/>
      <c r="E28" s="2"/>
      <c r="F28" s="2"/>
      <c r="G28" s="2"/>
      <c r="H28" s="2"/>
    </row>
    <row r="29" spans="1:8" ht="127.5" customHeight="1">
      <c r="A29" s="52" t="s">
        <v>110</v>
      </c>
      <c r="B29" s="73" t="s">
        <v>44</v>
      </c>
      <c r="C29" s="73" t="s">
        <v>74</v>
      </c>
      <c r="D29" s="73" t="s">
        <v>91</v>
      </c>
      <c r="E29" s="73" t="s">
        <v>96</v>
      </c>
      <c r="F29" s="73" t="s">
        <v>121</v>
      </c>
      <c r="G29" s="73" t="s">
        <v>107</v>
      </c>
      <c r="H29" s="74" t="s">
        <v>108</v>
      </c>
    </row>
    <row r="30" spans="1:8" ht="18" customHeight="1">
      <c r="A30" s="55">
        <v>1</v>
      </c>
      <c r="B30" s="3" t="s">
        <v>37</v>
      </c>
      <c r="C30" s="26">
        <v>0.35</v>
      </c>
      <c r="D30" s="41">
        <v>1.1</v>
      </c>
      <c r="E30" s="26">
        <v>0.44</v>
      </c>
      <c r="F30" s="26">
        <v>0.29</v>
      </c>
      <c r="G30" s="26">
        <v>0.66</v>
      </c>
      <c r="H30" s="41">
        <f>C30+D30+E30+F30+G30</f>
        <v>2.8400000000000003</v>
      </c>
    </row>
    <row r="31" spans="1:8" ht="30" customHeight="1">
      <c r="A31" s="55">
        <v>2</v>
      </c>
      <c r="B31" s="3" t="s">
        <v>39</v>
      </c>
      <c r="C31" s="26">
        <v>0.2</v>
      </c>
      <c r="D31" s="41">
        <v>0.7</v>
      </c>
      <c r="E31" s="26">
        <v>0.35</v>
      </c>
      <c r="F31" s="26">
        <v>0.21</v>
      </c>
      <c r="G31" s="26">
        <v>0.5</v>
      </c>
      <c r="H31" s="41">
        <f>C31+D31+E31+F31+G31</f>
        <v>1.96</v>
      </c>
    </row>
    <row r="32" spans="1:8" ht="30" customHeight="1">
      <c r="A32" s="55">
        <v>3</v>
      </c>
      <c r="B32" s="3" t="s">
        <v>38</v>
      </c>
      <c r="C32" s="26">
        <v>0.4</v>
      </c>
      <c r="D32" s="41">
        <v>0.7</v>
      </c>
      <c r="E32" s="26">
        <v>0.36</v>
      </c>
      <c r="F32" s="26">
        <v>0.21</v>
      </c>
      <c r="G32" s="26">
        <v>0.06</v>
      </c>
      <c r="H32" s="41">
        <f>C32+D32+E32+F32+G32</f>
        <v>1.73</v>
      </c>
    </row>
    <row r="33" spans="1:8" ht="18" customHeight="1">
      <c r="A33" s="55">
        <v>4</v>
      </c>
      <c r="B33" s="3" t="s">
        <v>36</v>
      </c>
      <c r="C33" s="26">
        <v>0.13</v>
      </c>
      <c r="D33" s="41">
        <v>0.4</v>
      </c>
      <c r="E33" s="26">
        <v>0.44</v>
      </c>
      <c r="F33" s="26">
        <v>0.37</v>
      </c>
      <c r="G33" s="26">
        <v>0.1</v>
      </c>
      <c r="H33" s="41">
        <f>C33+D33+E33+F33+G33</f>
        <v>1.44</v>
      </c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36.75" customHeight="1">
      <c r="A35" s="2"/>
      <c r="B35" s="2"/>
      <c r="C35" s="2"/>
      <c r="D35" s="2"/>
      <c r="E35" s="2"/>
      <c r="F35" s="2"/>
      <c r="G35" s="2"/>
      <c r="H35" s="2"/>
    </row>
  </sheetData>
  <sheetProtection/>
  <printOptions/>
  <pageMargins left="0.37" right="0.18" top="0.39" bottom="0.47" header="0.2" footer="0.3"/>
  <pageSetup horizontalDpi="300" verticalDpi="300" orientation="landscape" paperSize="9" scale="85" r:id="rId1"/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zoomScalePageLayoutView="0" workbookViewId="0" topLeftCell="A1">
      <selection activeCell="B23" sqref="B23"/>
    </sheetView>
  </sheetViews>
  <sheetFormatPr defaultColWidth="9.00390625" defaultRowHeight="12.75"/>
  <cols>
    <col min="1" max="1" width="7.125" style="0" customWidth="1"/>
    <col min="2" max="2" width="72.625" style="0" customWidth="1"/>
    <col min="3" max="3" width="27.25390625" style="0" customWidth="1"/>
    <col min="4" max="4" width="22.125" style="0" customWidth="1"/>
    <col min="5" max="5" width="14.75390625" style="0" customWidth="1"/>
  </cols>
  <sheetData>
    <row r="1" spans="2:5" ht="37.5" customHeight="1">
      <c r="B1" s="72" t="s">
        <v>135</v>
      </c>
      <c r="C1" s="9"/>
      <c r="D1" s="95"/>
      <c r="E1" s="9"/>
    </row>
    <row r="2" spans="1:5" ht="138.75" customHeight="1">
      <c r="A2" s="52" t="s">
        <v>110</v>
      </c>
      <c r="B2" s="66" t="s">
        <v>0</v>
      </c>
      <c r="C2" s="66" t="s">
        <v>72</v>
      </c>
      <c r="D2" s="66" t="s">
        <v>73</v>
      </c>
      <c r="E2" s="66" t="s">
        <v>74</v>
      </c>
    </row>
    <row r="3" spans="1:5" ht="16.5" customHeight="1">
      <c r="A3" s="52">
        <v>1</v>
      </c>
      <c r="B3" s="3" t="s">
        <v>26</v>
      </c>
      <c r="C3" s="15">
        <f>19+10</f>
        <v>29</v>
      </c>
      <c r="D3" s="97">
        <f>40+10</f>
        <v>50</v>
      </c>
      <c r="E3" s="15">
        <f aca="true" t="shared" si="0" ref="E3:E27">C3/D3</f>
        <v>0.58</v>
      </c>
    </row>
    <row r="4" spans="1:5" ht="16.5" customHeight="1">
      <c r="A4" s="52">
        <v>2</v>
      </c>
      <c r="B4" s="11" t="s">
        <v>20</v>
      </c>
      <c r="C4" s="14">
        <f>27+3</f>
        <v>30</v>
      </c>
      <c r="D4" s="94">
        <v>54</v>
      </c>
      <c r="E4" s="15">
        <f t="shared" si="0"/>
        <v>0.5555555555555556</v>
      </c>
    </row>
    <row r="5" spans="1:5" ht="16.5" customHeight="1">
      <c r="A5" s="52">
        <v>3</v>
      </c>
      <c r="B5" s="11" t="s">
        <v>16</v>
      </c>
      <c r="C5" s="44">
        <f>14+18+7+2</f>
        <v>41</v>
      </c>
      <c r="D5" s="41">
        <f>62+12+1</f>
        <v>75</v>
      </c>
      <c r="E5" s="15">
        <f t="shared" si="0"/>
        <v>0.5466666666666666</v>
      </c>
    </row>
    <row r="6" spans="1:5" ht="16.5" customHeight="1">
      <c r="A6" s="52">
        <v>4</v>
      </c>
      <c r="B6" s="3" t="s">
        <v>5</v>
      </c>
      <c r="C6" s="15">
        <f>14+18</f>
        <v>32</v>
      </c>
      <c r="D6" s="97">
        <f>62+8</f>
        <v>70</v>
      </c>
      <c r="E6" s="15">
        <f t="shared" si="0"/>
        <v>0.45714285714285713</v>
      </c>
    </row>
    <row r="7" spans="1:5" ht="16.5" customHeight="1">
      <c r="A7" s="52">
        <v>5</v>
      </c>
      <c r="B7" s="11" t="s">
        <v>32</v>
      </c>
      <c r="C7" s="44">
        <v>22</v>
      </c>
      <c r="D7" s="41">
        <v>52</v>
      </c>
      <c r="E7" s="14">
        <f t="shared" si="0"/>
        <v>0.4230769230769231</v>
      </c>
    </row>
    <row r="8" spans="1:5" ht="16.5" customHeight="1">
      <c r="A8" s="52">
        <v>6</v>
      </c>
      <c r="B8" s="3" t="s">
        <v>14</v>
      </c>
      <c r="C8" s="44">
        <v>66</v>
      </c>
      <c r="D8" s="41">
        <v>157</v>
      </c>
      <c r="E8" s="14">
        <f t="shared" si="0"/>
        <v>0.42038216560509556</v>
      </c>
    </row>
    <row r="9" spans="1:5" ht="16.5" customHeight="1">
      <c r="A9" s="52">
        <v>7</v>
      </c>
      <c r="B9" s="3" t="s">
        <v>29</v>
      </c>
      <c r="C9" s="14">
        <f>73+4</f>
        <v>77</v>
      </c>
      <c r="D9" s="97">
        <v>202</v>
      </c>
      <c r="E9" s="14">
        <f t="shared" si="0"/>
        <v>0.3811881188118812</v>
      </c>
    </row>
    <row r="10" spans="1:5" ht="16.5" customHeight="1">
      <c r="A10" s="52">
        <v>8</v>
      </c>
      <c r="B10" s="11" t="s">
        <v>8</v>
      </c>
      <c r="C10" s="14">
        <f>19+4+1</f>
        <v>24</v>
      </c>
      <c r="D10" s="94">
        <f>72+1</f>
        <v>73</v>
      </c>
      <c r="E10" s="14">
        <f t="shared" si="0"/>
        <v>0.3287671232876712</v>
      </c>
    </row>
    <row r="11" spans="1:5" ht="16.5" customHeight="1">
      <c r="A11" s="52">
        <v>9</v>
      </c>
      <c r="B11" s="3" t="s">
        <v>23</v>
      </c>
      <c r="C11" s="15">
        <v>19</v>
      </c>
      <c r="D11" s="97">
        <v>58</v>
      </c>
      <c r="E11" s="14">
        <f t="shared" si="0"/>
        <v>0.3275862068965517</v>
      </c>
    </row>
    <row r="12" spans="1:5" ht="16.5" customHeight="1">
      <c r="A12" s="52">
        <v>10</v>
      </c>
      <c r="B12" s="11" t="s">
        <v>22</v>
      </c>
      <c r="C12" s="14">
        <f>16+2+1+1</f>
        <v>20</v>
      </c>
      <c r="D12" s="94">
        <v>62</v>
      </c>
      <c r="E12" s="14">
        <f t="shared" si="0"/>
        <v>0.3225806451612903</v>
      </c>
    </row>
    <row r="13" spans="1:5" ht="16.5" customHeight="1">
      <c r="A13" s="52">
        <v>11</v>
      </c>
      <c r="B13" s="11" t="s">
        <v>15</v>
      </c>
      <c r="C13" s="14">
        <f>43+46+2</f>
        <v>91</v>
      </c>
      <c r="D13" s="97">
        <f>154+130</f>
        <v>284</v>
      </c>
      <c r="E13" s="14">
        <f t="shared" si="0"/>
        <v>0.3204225352112676</v>
      </c>
    </row>
    <row r="14" spans="1:5" ht="16.5" customHeight="1">
      <c r="A14" s="52">
        <v>12</v>
      </c>
      <c r="B14" s="11" t="s">
        <v>28</v>
      </c>
      <c r="C14" s="15">
        <f>16+1</f>
        <v>17</v>
      </c>
      <c r="D14" s="94">
        <v>57</v>
      </c>
      <c r="E14" s="14">
        <f t="shared" si="0"/>
        <v>0.2982456140350877</v>
      </c>
    </row>
    <row r="15" spans="1:5" ht="16.5" customHeight="1">
      <c r="A15" s="52">
        <v>13</v>
      </c>
      <c r="B15" s="11" t="s">
        <v>13</v>
      </c>
      <c r="C15" s="15">
        <v>33</v>
      </c>
      <c r="D15" s="94">
        <v>125</v>
      </c>
      <c r="E15" s="14">
        <f t="shared" si="0"/>
        <v>0.264</v>
      </c>
    </row>
    <row r="16" spans="1:5" ht="16.5" customHeight="1">
      <c r="A16" s="52">
        <v>14</v>
      </c>
      <c r="B16" s="3" t="s">
        <v>9</v>
      </c>
      <c r="C16" s="15">
        <f>10+34</f>
        <v>44</v>
      </c>
      <c r="D16" s="97">
        <f>113+56</f>
        <v>169</v>
      </c>
      <c r="E16" s="14">
        <f t="shared" si="0"/>
        <v>0.2603550295857988</v>
      </c>
    </row>
    <row r="17" spans="1:5" ht="16.5" customHeight="1">
      <c r="A17" s="52">
        <v>15</v>
      </c>
      <c r="B17" s="11" t="s">
        <v>34</v>
      </c>
      <c r="C17" s="15">
        <v>21</v>
      </c>
      <c r="D17" s="94">
        <v>89</v>
      </c>
      <c r="E17" s="14">
        <f t="shared" si="0"/>
        <v>0.23595505617977527</v>
      </c>
    </row>
    <row r="18" spans="1:5" ht="16.5" customHeight="1">
      <c r="A18" s="52">
        <v>16</v>
      </c>
      <c r="B18" s="11" t="s">
        <v>27</v>
      </c>
      <c r="C18" s="14">
        <f>30+3+12+10</f>
        <v>55</v>
      </c>
      <c r="D18" s="94">
        <f>219+17</f>
        <v>236</v>
      </c>
      <c r="E18" s="14">
        <f t="shared" si="0"/>
        <v>0.2330508474576271</v>
      </c>
    </row>
    <row r="19" spans="1:5" ht="16.5" customHeight="1">
      <c r="A19" s="52">
        <v>17</v>
      </c>
      <c r="B19" s="11" t="s">
        <v>12</v>
      </c>
      <c r="C19" s="15">
        <v>39</v>
      </c>
      <c r="D19" s="94">
        <v>169</v>
      </c>
      <c r="E19" s="14">
        <f t="shared" si="0"/>
        <v>0.23076923076923078</v>
      </c>
    </row>
    <row r="20" spans="1:5" ht="16.5" customHeight="1">
      <c r="A20" s="52">
        <v>18</v>
      </c>
      <c r="B20" s="11" t="s">
        <v>21</v>
      </c>
      <c r="C20" s="14">
        <v>29</v>
      </c>
      <c r="D20" s="94">
        <v>177</v>
      </c>
      <c r="E20" s="14">
        <f t="shared" si="0"/>
        <v>0.1638418079096045</v>
      </c>
    </row>
    <row r="21" spans="1:5" ht="16.5" customHeight="1">
      <c r="A21" s="52">
        <v>19</v>
      </c>
      <c r="B21" s="3" t="s">
        <v>4</v>
      </c>
      <c r="C21" s="15">
        <f>4+2+1+9+1</f>
        <v>17</v>
      </c>
      <c r="D21" s="97">
        <v>133</v>
      </c>
      <c r="E21" s="14">
        <f t="shared" si="0"/>
        <v>0.12781954887218044</v>
      </c>
    </row>
    <row r="22" spans="1:5" ht="16.5" customHeight="1">
      <c r="A22" s="52">
        <v>20</v>
      </c>
      <c r="B22" s="11" t="s">
        <v>31</v>
      </c>
      <c r="C22" s="14">
        <v>11</v>
      </c>
      <c r="D22" s="94">
        <v>103</v>
      </c>
      <c r="E22" s="14">
        <f t="shared" si="0"/>
        <v>0.10679611650485436</v>
      </c>
    </row>
    <row r="23" spans="1:5" ht="16.5" customHeight="1">
      <c r="A23" s="52">
        <v>21</v>
      </c>
      <c r="B23" s="11" t="s">
        <v>10</v>
      </c>
      <c r="C23" s="15">
        <v>14</v>
      </c>
      <c r="D23" s="94">
        <v>140</v>
      </c>
      <c r="E23" s="14">
        <f t="shared" si="0"/>
        <v>0.1</v>
      </c>
    </row>
    <row r="24" spans="1:5" ht="16.5" customHeight="1">
      <c r="A24" s="52">
        <v>22</v>
      </c>
      <c r="B24" s="11" t="s">
        <v>11</v>
      </c>
      <c r="C24" s="15">
        <f>5+8</f>
        <v>13</v>
      </c>
      <c r="D24" s="94">
        <f>70+62</f>
        <v>132</v>
      </c>
      <c r="E24" s="14">
        <f t="shared" si="0"/>
        <v>0.09848484848484848</v>
      </c>
    </row>
    <row r="25" spans="1:5" ht="16.5" customHeight="1">
      <c r="A25" s="52">
        <v>23</v>
      </c>
      <c r="B25" s="11" t="s">
        <v>6</v>
      </c>
      <c r="C25" s="15">
        <v>10</v>
      </c>
      <c r="D25" s="94">
        <v>115</v>
      </c>
      <c r="E25" s="14">
        <f t="shared" si="0"/>
        <v>0.08695652173913043</v>
      </c>
    </row>
    <row r="26" spans="1:5" ht="16.5" customHeight="1">
      <c r="A26" s="52">
        <v>24</v>
      </c>
      <c r="B26" s="3" t="s">
        <v>131</v>
      </c>
      <c r="C26" s="15">
        <v>9</v>
      </c>
      <c r="D26" s="97">
        <v>117</v>
      </c>
      <c r="E26" s="14">
        <f t="shared" si="0"/>
        <v>0.07692307692307693</v>
      </c>
    </row>
    <row r="27" spans="1:5" ht="16.5" customHeight="1">
      <c r="A27" s="52">
        <v>25</v>
      </c>
      <c r="B27" s="11" t="s">
        <v>30</v>
      </c>
      <c r="C27" s="15">
        <v>6</v>
      </c>
      <c r="D27" s="94">
        <v>87</v>
      </c>
      <c r="E27" s="14">
        <f t="shared" si="0"/>
        <v>0.06896551724137931</v>
      </c>
    </row>
    <row r="28" spans="2:5" ht="15.75">
      <c r="B28" s="21" t="s">
        <v>56</v>
      </c>
      <c r="C28" s="20">
        <f>SUM(C3:C27)</f>
        <v>769</v>
      </c>
      <c r="D28" s="98">
        <f>SUM(D3:D27)</f>
        <v>2986</v>
      </c>
      <c r="E28" s="15"/>
    </row>
    <row r="29" spans="2:5" ht="43.5" customHeight="1">
      <c r="B29" s="72" t="s">
        <v>71</v>
      </c>
      <c r="C29" s="5"/>
      <c r="D29" s="5"/>
      <c r="E29" s="5"/>
    </row>
    <row r="30" spans="1:5" ht="101.25" customHeight="1">
      <c r="A30" s="52" t="s">
        <v>110</v>
      </c>
      <c r="B30" s="66" t="s">
        <v>44</v>
      </c>
      <c r="C30" s="66" t="s">
        <v>72</v>
      </c>
      <c r="D30" s="66" t="s">
        <v>73</v>
      </c>
      <c r="E30" s="66" t="s">
        <v>74</v>
      </c>
    </row>
    <row r="31" spans="1:5" ht="16.5" customHeight="1">
      <c r="A31" s="52">
        <v>1</v>
      </c>
      <c r="B31" s="3" t="s">
        <v>38</v>
      </c>
      <c r="C31" s="15">
        <v>219</v>
      </c>
      <c r="D31" s="15">
        <v>544</v>
      </c>
      <c r="E31" s="15">
        <f>C31/D31</f>
        <v>0.4025735294117647</v>
      </c>
    </row>
    <row r="32" spans="1:5" ht="16.5" customHeight="1">
      <c r="A32" s="52">
        <v>2</v>
      </c>
      <c r="B32" s="3" t="s">
        <v>37</v>
      </c>
      <c r="C32" s="15">
        <v>303</v>
      </c>
      <c r="D32" s="15">
        <v>864</v>
      </c>
      <c r="E32" s="15">
        <f>C32/D32</f>
        <v>0.3506944444444444</v>
      </c>
    </row>
    <row r="33" spans="1:5" ht="16.5" customHeight="1">
      <c r="A33" s="52">
        <v>3</v>
      </c>
      <c r="B33" s="3" t="s">
        <v>39</v>
      </c>
      <c r="C33" s="15">
        <v>134</v>
      </c>
      <c r="D33" s="15">
        <v>685</v>
      </c>
      <c r="E33" s="15">
        <f>C33/D33</f>
        <v>0.19562043795620437</v>
      </c>
    </row>
    <row r="34" spans="1:5" ht="16.5" customHeight="1">
      <c r="A34" s="52">
        <v>4</v>
      </c>
      <c r="B34" s="3" t="s">
        <v>36</v>
      </c>
      <c r="C34" s="15">
        <v>113</v>
      </c>
      <c r="D34" s="15">
        <v>893</v>
      </c>
      <c r="E34" s="15">
        <f>C34/D34</f>
        <v>0.1265397536394177</v>
      </c>
    </row>
    <row r="35" spans="2:5" ht="15.75">
      <c r="B35" s="21" t="s">
        <v>56</v>
      </c>
      <c r="C35" s="18">
        <f>SUM(C31:C34)</f>
        <v>769</v>
      </c>
      <c r="D35" s="18">
        <f>SUM(D31:D34)</f>
        <v>2986</v>
      </c>
      <c r="E35" s="31"/>
    </row>
    <row r="37" ht="36.75" customHeight="1">
      <c r="C37" s="7"/>
    </row>
    <row r="38" ht="19.5" customHeight="1">
      <c r="B38" s="27"/>
    </row>
  </sheetData>
  <sheetProtection/>
  <printOptions/>
  <pageMargins left="0.43" right="0.22" top="0.47" bottom="0.37" header="0.35" footer="0.27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zoomScalePageLayoutView="0" workbookViewId="0" topLeftCell="A1">
      <selection activeCell="B30" sqref="B30:B31"/>
    </sheetView>
  </sheetViews>
  <sheetFormatPr defaultColWidth="9.00390625" defaultRowHeight="12.75"/>
  <cols>
    <col min="1" max="1" width="6.875" style="0" customWidth="1"/>
    <col min="2" max="2" width="67.25390625" style="0" customWidth="1"/>
    <col min="3" max="3" width="20.625" style="0" customWidth="1"/>
    <col min="4" max="4" width="19.25390625" style="0" customWidth="1"/>
    <col min="5" max="5" width="20.375" style="0" customWidth="1"/>
    <col min="6" max="6" width="18.25390625" style="0" customWidth="1"/>
    <col min="7" max="7" width="22.125" style="0" customWidth="1"/>
    <col min="8" max="8" width="18.25390625" style="0" customWidth="1"/>
    <col min="9" max="9" width="15.375" style="0" customWidth="1"/>
  </cols>
  <sheetData>
    <row r="1" spans="2:5" ht="40.5">
      <c r="B1" s="72" t="s">
        <v>88</v>
      </c>
      <c r="C1" s="9"/>
      <c r="D1" s="9"/>
      <c r="E1" s="9"/>
    </row>
    <row r="2" spans="1:9" ht="135" customHeight="1">
      <c r="A2" s="52" t="s">
        <v>110</v>
      </c>
      <c r="B2" s="66" t="s">
        <v>0</v>
      </c>
      <c r="C2" s="66" t="s">
        <v>89</v>
      </c>
      <c r="D2" s="66" t="s">
        <v>117</v>
      </c>
      <c r="E2" s="66" t="s">
        <v>90</v>
      </c>
      <c r="F2" s="66" t="s">
        <v>118</v>
      </c>
      <c r="G2" s="66" t="s">
        <v>119</v>
      </c>
      <c r="H2" s="66" t="s">
        <v>120</v>
      </c>
      <c r="I2" s="66" t="s">
        <v>91</v>
      </c>
    </row>
    <row r="3" spans="1:9" s="12" customFormat="1" ht="16.5" customHeight="1">
      <c r="A3" s="55">
        <v>1</v>
      </c>
      <c r="B3" s="11" t="s">
        <v>15</v>
      </c>
      <c r="C3" s="14">
        <v>23</v>
      </c>
      <c r="D3" s="14">
        <v>169</v>
      </c>
      <c r="E3" s="14">
        <v>29</v>
      </c>
      <c r="F3" s="41">
        <v>250</v>
      </c>
      <c r="G3" s="41">
        <f>76-C3-E3</f>
        <v>24</v>
      </c>
      <c r="H3" s="41">
        <v>405</v>
      </c>
      <c r="I3" s="41">
        <f aca="true" t="shared" si="0" ref="I3:I27">C3/D3+E3/F3+G3/H3</f>
        <v>0.3113539338154723</v>
      </c>
    </row>
    <row r="4" spans="1:9" s="12" customFormat="1" ht="16.5" customHeight="1">
      <c r="A4" s="55">
        <v>2</v>
      </c>
      <c r="B4" s="11" t="s">
        <v>27</v>
      </c>
      <c r="C4" s="14">
        <v>14</v>
      </c>
      <c r="D4" s="14">
        <v>169</v>
      </c>
      <c r="E4" s="14">
        <v>15</v>
      </c>
      <c r="F4" s="41">
        <v>250</v>
      </c>
      <c r="G4" s="41">
        <f>75-C4-E4</f>
        <v>46</v>
      </c>
      <c r="H4" s="41">
        <v>405</v>
      </c>
      <c r="I4" s="41">
        <f t="shared" si="0"/>
        <v>0.25642048359997077</v>
      </c>
    </row>
    <row r="5" spans="1:9" s="12" customFormat="1" ht="16.5" customHeight="1">
      <c r="A5" s="55">
        <v>3</v>
      </c>
      <c r="B5" s="11" t="s">
        <v>14</v>
      </c>
      <c r="C5" s="44">
        <v>25</v>
      </c>
      <c r="D5" s="14">
        <v>169</v>
      </c>
      <c r="E5" s="44">
        <v>13</v>
      </c>
      <c r="F5" s="41">
        <v>250</v>
      </c>
      <c r="G5" s="41">
        <f>59-C5-E5</f>
        <v>21</v>
      </c>
      <c r="H5" s="41">
        <v>405</v>
      </c>
      <c r="I5" s="41">
        <f t="shared" si="0"/>
        <v>0.2517808459346921</v>
      </c>
    </row>
    <row r="6" spans="1:9" s="12" customFormat="1" ht="16.5" customHeight="1">
      <c r="A6" s="55">
        <v>4</v>
      </c>
      <c r="B6" s="11" t="s">
        <v>29</v>
      </c>
      <c r="C6" s="14">
        <v>9</v>
      </c>
      <c r="D6" s="14">
        <v>169</v>
      </c>
      <c r="E6" s="14">
        <v>20</v>
      </c>
      <c r="F6" s="41">
        <v>250</v>
      </c>
      <c r="G6" s="41">
        <f>61-C6-E6</f>
        <v>32</v>
      </c>
      <c r="H6" s="41">
        <v>405</v>
      </c>
      <c r="I6" s="41">
        <f t="shared" si="0"/>
        <v>0.21226678354883483</v>
      </c>
    </row>
    <row r="7" spans="1:9" s="12" customFormat="1" ht="16.5" customHeight="1">
      <c r="A7" s="55">
        <v>5</v>
      </c>
      <c r="B7" s="11" t="s">
        <v>13</v>
      </c>
      <c r="C7" s="96">
        <v>11</v>
      </c>
      <c r="D7" s="14">
        <v>169</v>
      </c>
      <c r="E7" s="14">
        <v>13</v>
      </c>
      <c r="F7" s="41">
        <v>250</v>
      </c>
      <c r="G7" s="41">
        <f>46-C7-E7</f>
        <v>22</v>
      </c>
      <c r="H7" s="41">
        <v>405</v>
      </c>
      <c r="I7" s="41">
        <f t="shared" si="0"/>
        <v>0.17140974505077067</v>
      </c>
    </row>
    <row r="8" spans="1:9" s="12" customFormat="1" ht="16.5" customHeight="1">
      <c r="A8" s="55">
        <v>6</v>
      </c>
      <c r="B8" s="11" t="s">
        <v>21</v>
      </c>
      <c r="C8" s="14">
        <v>9</v>
      </c>
      <c r="D8" s="14">
        <v>169</v>
      </c>
      <c r="E8" s="14">
        <v>12</v>
      </c>
      <c r="F8" s="41">
        <v>250</v>
      </c>
      <c r="G8" s="41">
        <f>46-C8-E8</f>
        <v>25</v>
      </c>
      <c r="H8" s="41">
        <v>405</v>
      </c>
      <c r="I8" s="41">
        <f t="shared" si="0"/>
        <v>0.1629828329315509</v>
      </c>
    </row>
    <row r="9" spans="1:9" s="12" customFormat="1" ht="16.5" customHeight="1">
      <c r="A9" s="55">
        <v>7</v>
      </c>
      <c r="B9" s="11" t="s">
        <v>34</v>
      </c>
      <c r="C9" s="14">
        <v>1</v>
      </c>
      <c r="D9" s="14">
        <v>169</v>
      </c>
      <c r="E9" s="14">
        <v>27</v>
      </c>
      <c r="F9" s="41">
        <v>250</v>
      </c>
      <c r="G9" s="41">
        <f>46-C9-E9</f>
        <v>18</v>
      </c>
      <c r="H9" s="41">
        <v>405</v>
      </c>
      <c r="I9" s="41">
        <f t="shared" si="0"/>
        <v>0.15836160420775805</v>
      </c>
    </row>
    <row r="10" spans="1:9" s="12" customFormat="1" ht="16.5" customHeight="1">
      <c r="A10" s="55">
        <v>8</v>
      </c>
      <c r="B10" s="11" t="s">
        <v>12</v>
      </c>
      <c r="C10" s="14">
        <v>8</v>
      </c>
      <c r="D10" s="14">
        <v>169</v>
      </c>
      <c r="E10" s="14">
        <v>9</v>
      </c>
      <c r="F10" s="41">
        <v>250</v>
      </c>
      <c r="G10" s="41">
        <f>43-C10-E10</f>
        <v>26</v>
      </c>
      <c r="H10" s="41">
        <v>405</v>
      </c>
      <c r="I10" s="41">
        <f t="shared" si="0"/>
        <v>0.14753480897070642</v>
      </c>
    </row>
    <row r="11" spans="1:9" s="12" customFormat="1" ht="16.5" customHeight="1">
      <c r="A11" s="55">
        <v>9</v>
      </c>
      <c r="B11" s="11" t="s">
        <v>9</v>
      </c>
      <c r="C11" s="14">
        <v>7</v>
      </c>
      <c r="D11" s="14">
        <v>169</v>
      </c>
      <c r="E11" s="14">
        <v>5</v>
      </c>
      <c r="F11" s="41">
        <v>250</v>
      </c>
      <c r="G11" s="41">
        <f>46-C11-E11</f>
        <v>34</v>
      </c>
      <c r="H11" s="41">
        <v>405</v>
      </c>
      <c r="I11" s="41">
        <f t="shared" si="0"/>
        <v>0.1453707356271459</v>
      </c>
    </row>
    <row r="12" spans="1:9" s="12" customFormat="1" ht="16.5" customHeight="1">
      <c r="A12" s="55">
        <v>10</v>
      </c>
      <c r="B12" s="11" t="s">
        <v>31</v>
      </c>
      <c r="C12" s="14">
        <v>10</v>
      </c>
      <c r="D12" s="14">
        <v>169</v>
      </c>
      <c r="E12" s="14">
        <v>12</v>
      </c>
      <c r="F12" s="41">
        <v>250</v>
      </c>
      <c r="G12" s="41">
        <f>30-C12-E12</f>
        <v>8</v>
      </c>
      <c r="H12" s="41">
        <v>405</v>
      </c>
      <c r="I12" s="41">
        <f t="shared" si="0"/>
        <v>0.12692468405288918</v>
      </c>
    </row>
    <row r="13" spans="1:9" s="12" customFormat="1" ht="16.5" customHeight="1">
      <c r="A13" s="55">
        <v>11</v>
      </c>
      <c r="B13" s="11" t="s">
        <v>16</v>
      </c>
      <c r="C13" s="44">
        <v>13</v>
      </c>
      <c r="D13" s="14">
        <v>169</v>
      </c>
      <c r="E13" s="44">
        <v>0</v>
      </c>
      <c r="F13" s="41">
        <v>250</v>
      </c>
      <c r="G13" s="41">
        <v>20</v>
      </c>
      <c r="H13" s="41">
        <v>405</v>
      </c>
      <c r="I13" s="41">
        <f t="shared" si="0"/>
        <v>0.12630579297245964</v>
      </c>
    </row>
    <row r="14" spans="1:9" s="12" customFormat="1" ht="16.5" customHeight="1">
      <c r="A14" s="55">
        <v>12</v>
      </c>
      <c r="B14" s="11" t="s">
        <v>8</v>
      </c>
      <c r="C14" s="96">
        <v>3</v>
      </c>
      <c r="D14" s="14">
        <v>169</v>
      </c>
      <c r="E14" s="14">
        <v>14</v>
      </c>
      <c r="F14" s="41">
        <v>250</v>
      </c>
      <c r="G14" s="41">
        <v>11</v>
      </c>
      <c r="H14" s="41">
        <v>405</v>
      </c>
      <c r="I14" s="41">
        <f t="shared" si="0"/>
        <v>0.10091197311710132</v>
      </c>
    </row>
    <row r="15" spans="1:9" s="12" customFormat="1" ht="16.5" customHeight="1">
      <c r="A15" s="55">
        <v>13</v>
      </c>
      <c r="B15" s="11" t="s">
        <v>26</v>
      </c>
      <c r="C15" s="14">
        <v>5</v>
      </c>
      <c r="D15" s="14">
        <v>169</v>
      </c>
      <c r="E15" s="14">
        <v>10</v>
      </c>
      <c r="F15" s="41">
        <v>250</v>
      </c>
      <c r="G15" s="41">
        <f>27-C15-E15</f>
        <v>12</v>
      </c>
      <c r="H15" s="41">
        <v>405</v>
      </c>
      <c r="I15" s="41">
        <f t="shared" si="0"/>
        <v>0.09921542844619767</v>
      </c>
    </row>
    <row r="16" spans="1:9" s="12" customFormat="1" ht="16.5" customHeight="1">
      <c r="A16" s="55">
        <v>14</v>
      </c>
      <c r="B16" s="11" t="s">
        <v>5</v>
      </c>
      <c r="C16" s="96">
        <v>0</v>
      </c>
      <c r="D16" s="14">
        <v>169</v>
      </c>
      <c r="E16" s="14">
        <v>15</v>
      </c>
      <c r="F16" s="41">
        <v>250</v>
      </c>
      <c r="G16" s="41">
        <v>14</v>
      </c>
      <c r="H16" s="41">
        <v>405</v>
      </c>
      <c r="I16" s="41">
        <f t="shared" si="0"/>
        <v>0.0945679012345679</v>
      </c>
    </row>
    <row r="17" spans="1:9" s="12" customFormat="1" ht="16.5" customHeight="1">
      <c r="A17" s="55">
        <v>15</v>
      </c>
      <c r="B17" s="11" t="s">
        <v>32</v>
      </c>
      <c r="C17" s="44">
        <v>3</v>
      </c>
      <c r="D17" s="14">
        <v>169</v>
      </c>
      <c r="E17" s="44">
        <v>6</v>
      </c>
      <c r="F17" s="41">
        <v>250</v>
      </c>
      <c r="G17" s="41">
        <v>17</v>
      </c>
      <c r="H17" s="41">
        <v>405</v>
      </c>
      <c r="I17" s="41">
        <f t="shared" si="0"/>
        <v>0.08372678793191614</v>
      </c>
    </row>
    <row r="18" spans="1:9" s="12" customFormat="1" ht="16.5" customHeight="1">
      <c r="A18" s="55">
        <v>16</v>
      </c>
      <c r="B18" s="11" t="s">
        <v>11</v>
      </c>
      <c r="C18" s="14">
        <v>7</v>
      </c>
      <c r="D18" s="14">
        <v>169</v>
      </c>
      <c r="E18" s="14">
        <v>5</v>
      </c>
      <c r="F18" s="41">
        <v>250</v>
      </c>
      <c r="G18" s="41">
        <f>21-C18-E18</f>
        <v>9</v>
      </c>
      <c r="H18" s="41">
        <v>405</v>
      </c>
      <c r="I18" s="41">
        <f t="shared" si="0"/>
        <v>0.0836423405654175</v>
      </c>
    </row>
    <row r="19" spans="1:9" s="12" customFormat="1" ht="16.5" customHeight="1">
      <c r="A19" s="55">
        <v>17</v>
      </c>
      <c r="B19" s="11" t="s">
        <v>28</v>
      </c>
      <c r="C19" s="14">
        <v>2</v>
      </c>
      <c r="D19" s="14">
        <v>169</v>
      </c>
      <c r="E19" s="14">
        <v>11</v>
      </c>
      <c r="F19" s="41">
        <v>250</v>
      </c>
      <c r="G19" s="41">
        <v>9</v>
      </c>
      <c r="H19" s="41">
        <v>405</v>
      </c>
      <c r="I19" s="41">
        <f t="shared" si="0"/>
        <v>0.07805654174884943</v>
      </c>
    </row>
    <row r="20" spans="1:9" s="12" customFormat="1" ht="16.5" customHeight="1">
      <c r="A20" s="55">
        <v>18</v>
      </c>
      <c r="B20" s="11" t="s">
        <v>20</v>
      </c>
      <c r="C20" s="14">
        <v>3</v>
      </c>
      <c r="D20" s="14">
        <v>169</v>
      </c>
      <c r="E20" s="14">
        <v>4</v>
      </c>
      <c r="F20" s="41">
        <v>250</v>
      </c>
      <c r="G20" s="41">
        <v>17</v>
      </c>
      <c r="H20" s="41">
        <v>405</v>
      </c>
      <c r="I20" s="41">
        <f t="shared" si="0"/>
        <v>0.07572678793191615</v>
      </c>
    </row>
    <row r="21" spans="1:9" s="12" customFormat="1" ht="16.5" customHeight="1">
      <c r="A21" s="55">
        <v>19</v>
      </c>
      <c r="B21" s="11" t="s">
        <v>22</v>
      </c>
      <c r="C21" s="14">
        <v>3</v>
      </c>
      <c r="D21" s="14">
        <v>169</v>
      </c>
      <c r="E21" s="14">
        <v>7</v>
      </c>
      <c r="F21" s="41">
        <v>250</v>
      </c>
      <c r="G21" s="41">
        <v>8</v>
      </c>
      <c r="H21" s="41">
        <v>405</v>
      </c>
      <c r="I21" s="41">
        <f t="shared" si="0"/>
        <v>0.06550456570969392</v>
      </c>
    </row>
    <row r="22" spans="1:9" s="12" customFormat="1" ht="16.5" customHeight="1">
      <c r="A22" s="55">
        <v>20</v>
      </c>
      <c r="B22" s="11" t="s">
        <v>23</v>
      </c>
      <c r="C22" s="14">
        <v>2</v>
      </c>
      <c r="D22" s="14">
        <v>169</v>
      </c>
      <c r="E22" s="14">
        <v>4</v>
      </c>
      <c r="F22" s="41">
        <v>250</v>
      </c>
      <c r="G22" s="41">
        <f>17-C22-E22</f>
        <v>11</v>
      </c>
      <c r="H22" s="41">
        <v>405</v>
      </c>
      <c r="I22" s="41">
        <f t="shared" si="0"/>
        <v>0.05499481335378771</v>
      </c>
    </row>
    <row r="23" spans="1:9" s="12" customFormat="1" ht="16.5" customHeight="1">
      <c r="A23" s="55">
        <v>21</v>
      </c>
      <c r="B23" s="11" t="s">
        <v>10</v>
      </c>
      <c r="C23" s="14">
        <v>0</v>
      </c>
      <c r="D23" s="14">
        <v>169</v>
      </c>
      <c r="E23" s="14">
        <v>9</v>
      </c>
      <c r="F23" s="41">
        <v>250</v>
      </c>
      <c r="G23" s="41">
        <f>14-C23-E23</f>
        <v>5</v>
      </c>
      <c r="H23" s="41">
        <v>405</v>
      </c>
      <c r="I23" s="41">
        <f t="shared" si="0"/>
        <v>0.048345679012345676</v>
      </c>
    </row>
    <row r="24" spans="1:9" s="12" customFormat="1" ht="16.5" customHeight="1">
      <c r="A24" s="55">
        <v>22</v>
      </c>
      <c r="B24" s="11" t="s">
        <v>4</v>
      </c>
      <c r="C24" s="14">
        <v>3</v>
      </c>
      <c r="D24" s="14">
        <v>169</v>
      </c>
      <c r="E24" s="14">
        <v>3</v>
      </c>
      <c r="F24" s="41">
        <v>250</v>
      </c>
      <c r="G24" s="41">
        <f>12-C24-E24</f>
        <v>6</v>
      </c>
      <c r="H24" s="41">
        <v>405</v>
      </c>
      <c r="I24" s="41">
        <f t="shared" si="0"/>
        <v>0.04456629410475564</v>
      </c>
    </row>
    <row r="25" spans="1:9" s="12" customFormat="1" ht="16.5" customHeight="1">
      <c r="A25" s="55">
        <v>23</v>
      </c>
      <c r="B25" s="11" t="s">
        <v>6</v>
      </c>
      <c r="C25" s="96">
        <v>1</v>
      </c>
      <c r="D25" s="14">
        <v>169</v>
      </c>
      <c r="E25" s="14">
        <v>6</v>
      </c>
      <c r="F25" s="41">
        <v>250</v>
      </c>
      <c r="G25" s="41">
        <f>11-C25-E25</f>
        <v>4</v>
      </c>
      <c r="H25" s="41">
        <v>405</v>
      </c>
      <c r="I25" s="41">
        <f t="shared" si="0"/>
        <v>0.039793702973190154</v>
      </c>
    </row>
    <row r="26" spans="1:9" s="12" customFormat="1" ht="16.5" customHeight="1">
      <c r="A26" s="55">
        <v>24</v>
      </c>
      <c r="B26" s="11" t="s">
        <v>132</v>
      </c>
      <c r="C26" s="14">
        <v>5</v>
      </c>
      <c r="D26" s="14">
        <v>169</v>
      </c>
      <c r="E26" s="14">
        <v>0</v>
      </c>
      <c r="F26" s="41">
        <v>250</v>
      </c>
      <c r="G26" s="41">
        <f>7-C26-E26</f>
        <v>2</v>
      </c>
      <c r="H26" s="41">
        <v>405</v>
      </c>
      <c r="I26" s="41">
        <f t="shared" si="0"/>
        <v>0.03452407042150632</v>
      </c>
    </row>
    <row r="27" spans="1:9" s="12" customFormat="1" ht="15.75">
      <c r="A27" s="55">
        <v>25</v>
      </c>
      <c r="B27" s="11" t="s">
        <v>30</v>
      </c>
      <c r="C27" s="14">
        <v>2</v>
      </c>
      <c r="D27" s="14">
        <v>169</v>
      </c>
      <c r="E27" s="14">
        <v>1</v>
      </c>
      <c r="F27" s="41">
        <v>250</v>
      </c>
      <c r="G27" s="41">
        <v>4</v>
      </c>
      <c r="H27" s="41">
        <v>405</v>
      </c>
      <c r="I27" s="41">
        <f t="shared" si="0"/>
        <v>0.025710862736503762</v>
      </c>
    </row>
    <row r="28" spans="2:9" ht="15.75">
      <c r="B28" s="21" t="s">
        <v>56</v>
      </c>
      <c r="C28" s="20">
        <f>SUM(C3:C27)</f>
        <v>169</v>
      </c>
      <c r="D28" s="20"/>
      <c r="E28" s="20">
        <f>SUM(E3:E27)</f>
        <v>250</v>
      </c>
      <c r="F28" s="18"/>
      <c r="G28" s="18">
        <f>SUM(G3:G27)</f>
        <v>405</v>
      </c>
      <c r="H28" s="18"/>
      <c r="I28" s="36"/>
    </row>
    <row r="29" spans="1:9" ht="40.5">
      <c r="A29" s="45"/>
      <c r="B29" s="84" t="s">
        <v>87</v>
      </c>
      <c r="C29" s="51"/>
      <c r="D29" s="51"/>
      <c r="E29" s="51"/>
      <c r="F29" s="45"/>
      <c r="G29" s="45"/>
      <c r="H29" s="45"/>
      <c r="I29" s="45"/>
    </row>
    <row r="30" spans="1:9" ht="147.75" customHeight="1">
      <c r="A30" s="23"/>
      <c r="B30" s="66" t="s">
        <v>44</v>
      </c>
      <c r="C30" s="66" t="s">
        <v>89</v>
      </c>
      <c r="D30" s="66" t="s">
        <v>117</v>
      </c>
      <c r="E30" s="66" t="s">
        <v>90</v>
      </c>
      <c r="F30" s="66" t="s">
        <v>118</v>
      </c>
      <c r="G30" s="66" t="s">
        <v>119</v>
      </c>
      <c r="H30" s="66" t="s">
        <v>120</v>
      </c>
      <c r="I30" s="66" t="s">
        <v>91</v>
      </c>
    </row>
    <row r="31" spans="1:9" ht="27.75" customHeight="1">
      <c r="A31" s="23">
        <v>1</v>
      </c>
      <c r="B31" s="3" t="s">
        <v>37</v>
      </c>
      <c r="C31" s="15">
        <v>73</v>
      </c>
      <c r="D31" s="15">
        <f>$C$35</f>
        <v>169</v>
      </c>
      <c r="E31" s="15">
        <v>97</v>
      </c>
      <c r="F31" s="26">
        <f>$E$35</f>
        <v>250</v>
      </c>
      <c r="G31" s="26">
        <v>129</v>
      </c>
      <c r="H31" s="26">
        <v>405</v>
      </c>
      <c r="I31" s="34">
        <f>C31/D31+E31/F31+G31/H31</f>
        <v>1.138471181240412</v>
      </c>
    </row>
    <row r="32" spans="1:9" ht="27.75" customHeight="1">
      <c r="A32" s="23">
        <v>2</v>
      </c>
      <c r="B32" s="3" t="s">
        <v>38</v>
      </c>
      <c r="C32" s="15">
        <v>30</v>
      </c>
      <c r="D32" s="15">
        <f>$C$35</f>
        <v>169</v>
      </c>
      <c r="E32" s="15">
        <v>76</v>
      </c>
      <c r="F32" s="26">
        <f>$E$35</f>
        <v>250</v>
      </c>
      <c r="G32" s="26">
        <v>107</v>
      </c>
      <c r="H32" s="26">
        <v>405</v>
      </c>
      <c r="I32" s="34">
        <f>C32/D32+E32/F32+G32/H32</f>
        <v>0.7457123237636057</v>
      </c>
    </row>
    <row r="33" spans="1:9" ht="31.5">
      <c r="A33" s="23">
        <v>3</v>
      </c>
      <c r="B33" s="3" t="s">
        <v>39</v>
      </c>
      <c r="C33" s="15">
        <v>41</v>
      </c>
      <c r="D33" s="15">
        <f>$C$35</f>
        <v>169</v>
      </c>
      <c r="E33" s="15">
        <v>48</v>
      </c>
      <c r="F33" s="26">
        <f>$E$35</f>
        <v>250</v>
      </c>
      <c r="G33" s="26">
        <v>105</v>
      </c>
      <c r="H33" s="26">
        <v>405</v>
      </c>
      <c r="I33" s="34">
        <f>C33/D33+E33/F33+G33/H33</f>
        <v>0.6938628095551171</v>
      </c>
    </row>
    <row r="34" spans="1:9" ht="21.75" customHeight="1">
      <c r="A34" s="23">
        <v>4</v>
      </c>
      <c r="B34" s="3" t="s">
        <v>36</v>
      </c>
      <c r="C34" s="15">
        <v>25</v>
      </c>
      <c r="D34" s="15">
        <f>$C$35</f>
        <v>169</v>
      </c>
      <c r="E34" s="15">
        <v>29</v>
      </c>
      <c r="F34" s="26">
        <f>$E$35</f>
        <v>250</v>
      </c>
      <c r="G34" s="26">
        <v>64</v>
      </c>
      <c r="H34" s="26">
        <v>405</v>
      </c>
      <c r="I34" s="34">
        <f>C34/D34+E34/F34+G34/H34</f>
        <v>0.421953685440865</v>
      </c>
    </row>
    <row r="35" spans="1:9" ht="15.75">
      <c r="A35" s="23"/>
      <c r="B35" s="21" t="s">
        <v>56</v>
      </c>
      <c r="C35" s="18">
        <f>SUM(C31:C34)</f>
        <v>169</v>
      </c>
      <c r="D35" s="18"/>
      <c r="E35" s="18">
        <f>SUM(E31:E34)</f>
        <v>250</v>
      </c>
      <c r="F35" s="18"/>
      <c r="G35" s="18">
        <f>SUM(G31:G34)</f>
        <v>405</v>
      </c>
      <c r="H35" s="18"/>
      <c r="I35" s="26"/>
    </row>
    <row r="37" spans="2:3" ht="15.75">
      <c r="B37" s="8"/>
      <c r="C37" s="7"/>
    </row>
  </sheetData>
  <sheetProtection/>
  <printOptions/>
  <pageMargins left="0.19" right="0.2" top="0.54" bottom="0.42" header="0.25" footer="0.3"/>
  <pageSetup horizontalDpi="600" verticalDpi="600" orientation="landscape" paperSize="9" scale="70" r:id="rId1"/>
  <rowBreaks count="1" manualBreakCount="1">
    <brk id="28" max="8" man="1"/>
  </rowBreaks>
  <ignoredErrors>
    <ignoredError sqref="G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K36"/>
  <sheetViews>
    <sheetView zoomScale="75" zoomScaleNormal="75" zoomScalePageLayoutView="0" workbookViewId="0" topLeftCell="A16">
      <selection activeCell="A30" sqref="A30:E30"/>
    </sheetView>
  </sheetViews>
  <sheetFormatPr defaultColWidth="9.00390625" defaultRowHeight="12.75"/>
  <cols>
    <col min="1" max="1" width="6.75390625" style="0" customWidth="1"/>
    <col min="2" max="2" width="70.25390625" style="0" customWidth="1"/>
    <col min="3" max="3" width="19.625" style="0" customWidth="1"/>
    <col min="4" max="4" width="20.625" style="0" customWidth="1"/>
    <col min="5" max="5" width="17.625" style="0" customWidth="1"/>
  </cols>
  <sheetData>
    <row r="2" spans="2:5" ht="40.5">
      <c r="B2" s="72" t="s">
        <v>95</v>
      </c>
      <c r="C2" s="9"/>
      <c r="D2" s="9"/>
      <c r="E2" s="9"/>
    </row>
    <row r="3" spans="1:5" ht="131.25" customHeight="1">
      <c r="A3" s="52" t="s">
        <v>110</v>
      </c>
      <c r="B3" s="66" t="s">
        <v>0</v>
      </c>
      <c r="C3" s="66" t="s">
        <v>93</v>
      </c>
      <c r="D3" s="66" t="s">
        <v>94</v>
      </c>
      <c r="E3" s="66" t="s">
        <v>96</v>
      </c>
    </row>
    <row r="4" spans="1:5" ht="16.5" customHeight="1">
      <c r="A4" s="52">
        <v>1</v>
      </c>
      <c r="B4" s="3" t="s">
        <v>4</v>
      </c>
      <c r="C4" s="14">
        <v>85</v>
      </c>
      <c r="D4" s="15">
        <v>100</v>
      </c>
      <c r="E4" s="15">
        <f aca="true" t="shared" si="0" ref="E4:E28">C4/D4</f>
        <v>0.85</v>
      </c>
    </row>
    <row r="5" spans="1:5" ht="16.5" customHeight="1">
      <c r="A5" s="52">
        <v>2</v>
      </c>
      <c r="B5" s="3" t="s">
        <v>15</v>
      </c>
      <c r="C5" s="14">
        <v>205</v>
      </c>
      <c r="D5" s="15">
        <v>325</v>
      </c>
      <c r="E5" s="15">
        <f t="shared" si="0"/>
        <v>0.6307692307692307</v>
      </c>
    </row>
    <row r="6" spans="1:5" ht="16.5" customHeight="1">
      <c r="A6" s="52">
        <v>3</v>
      </c>
      <c r="B6" s="3" t="s">
        <v>31</v>
      </c>
      <c r="C6" s="15">
        <v>62</v>
      </c>
      <c r="D6" s="15">
        <v>100</v>
      </c>
      <c r="E6" s="15">
        <f t="shared" si="0"/>
        <v>0.62</v>
      </c>
    </row>
    <row r="7" spans="1:5" ht="16.5" customHeight="1">
      <c r="A7" s="52">
        <v>4</v>
      </c>
      <c r="B7" s="3" t="s">
        <v>131</v>
      </c>
      <c r="C7" s="43">
        <v>45</v>
      </c>
      <c r="D7" s="15">
        <v>80</v>
      </c>
      <c r="E7" s="15">
        <f t="shared" si="0"/>
        <v>0.5625</v>
      </c>
    </row>
    <row r="8" spans="1:5" ht="16.5" customHeight="1">
      <c r="A8" s="52">
        <v>5</v>
      </c>
      <c r="B8" s="3" t="s">
        <v>14</v>
      </c>
      <c r="C8" s="44">
        <v>129</v>
      </c>
      <c r="D8" s="30">
        <v>250</v>
      </c>
      <c r="E8" s="15">
        <f t="shared" si="0"/>
        <v>0.516</v>
      </c>
    </row>
    <row r="9" spans="1:5" ht="16.5" customHeight="1">
      <c r="A9" s="52">
        <v>6</v>
      </c>
      <c r="B9" s="3" t="s">
        <v>13</v>
      </c>
      <c r="C9" s="15">
        <v>85</v>
      </c>
      <c r="D9" s="15">
        <v>180</v>
      </c>
      <c r="E9" s="15">
        <f t="shared" si="0"/>
        <v>0.4722222222222222</v>
      </c>
    </row>
    <row r="10" spans="1:5" ht="16.5" customHeight="1">
      <c r="A10" s="52">
        <v>7</v>
      </c>
      <c r="B10" s="3" t="s">
        <v>9</v>
      </c>
      <c r="C10" s="14">
        <v>122</v>
      </c>
      <c r="D10" s="15">
        <v>260</v>
      </c>
      <c r="E10" s="15">
        <f t="shared" si="0"/>
        <v>0.46923076923076923</v>
      </c>
    </row>
    <row r="11" spans="1:5" ht="16.5" customHeight="1">
      <c r="A11" s="52">
        <v>8</v>
      </c>
      <c r="B11" s="3" t="s">
        <v>34</v>
      </c>
      <c r="C11" s="15">
        <v>53</v>
      </c>
      <c r="D11" s="15">
        <v>125</v>
      </c>
      <c r="E11" s="15">
        <f t="shared" si="0"/>
        <v>0.424</v>
      </c>
    </row>
    <row r="12" spans="1:5" ht="16.5" customHeight="1">
      <c r="A12" s="52">
        <v>9</v>
      </c>
      <c r="B12" s="3" t="s">
        <v>29</v>
      </c>
      <c r="C12" s="15">
        <v>145</v>
      </c>
      <c r="D12" s="15">
        <v>350</v>
      </c>
      <c r="E12" s="15">
        <f t="shared" si="0"/>
        <v>0.4142857142857143</v>
      </c>
    </row>
    <row r="13" spans="1:5" ht="16.5" customHeight="1">
      <c r="A13" s="52">
        <v>10</v>
      </c>
      <c r="B13" s="3" t="s">
        <v>8</v>
      </c>
      <c r="C13" s="15">
        <f>48+1</f>
        <v>49</v>
      </c>
      <c r="D13" s="30">
        <f>(320+50)/3</f>
        <v>123.33333333333333</v>
      </c>
      <c r="E13" s="15">
        <f t="shared" si="0"/>
        <v>0.3972972972972973</v>
      </c>
    </row>
    <row r="14" spans="1:5" ht="16.5" customHeight="1">
      <c r="A14" s="52">
        <v>11</v>
      </c>
      <c r="B14" s="3" t="s">
        <v>10</v>
      </c>
      <c r="C14" s="14">
        <v>55</v>
      </c>
      <c r="D14" s="15">
        <v>140</v>
      </c>
      <c r="E14" s="15">
        <f t="shared" si="0"/>
        <v>0.39285714285714285</v>
      </c>
    </row>
    <row r="15" spans="1:5" ht="16.5" customHeight="1">
      <c r="A15" s="52">
        <v>12</v>
      </c>
      <c r="B15" s="3" t="s">
        <v>23</v>
      </c>
      <c r="C15" s="43">
        <v>42</v>
      </c>
      <c r="D15" s="15">
        <v>120</v>
      </c>
      <c r="E15" s="15">
        <f t="shared" si="0"/>
        <v>0.35</v>
      </c>
    </row>
    <row r="16" spans="1:5" ht="16.5" customHeight="1">
      <c r="A16" s="52">
        <v>13</v>
      </c>
      <c r="B16" s="3" t="s">
        <v>22</v>
      </c>
      <c r="C16" s="15">
        <v>43</v>
      </c>
      <c r="D16" s="15">
        <f>(320+50)/3</f>
        <v>123.33333333333333</v>
      </c>
      <c r="E16" s="15">
        <f t="shared" si="0"/>
        <v>0.34864864864864864</v>
      </c>
    </row>
    <row r="17" spans="1:5" ht="16.5" customHeight="1">
      <c r="A17" s="52">
        <v>14</v>
      </c>
      <c r="B17" s="3" t="s">
        <v>6</v>
      </c>
      <c r="C17" s="43">
        <v>51</v>
      </c>
      <c r="D17" s="15">
        <v>150</v>
      </c>
      <c r="E17" s="15">
        <f t="shared" si="0"/>
        <v>0.34</v>
      </c>
    </row>
    <row r="18" spans="1:5" ht="16.5" customHeight="1">
      <c r="A18" s="52">
        <v>15</v>
      </c>
      <c r="B18" s="3" t="s">
        <v>5</v>
      </c>
      <c r="C18" s="15">
        <f>32+19+1+6</f>
        <v>58</v>
      </c>
      <c r="D18" s="15">
        <f>350/2</f>
        <v>175</v>
      </c>
      <c r="E18" s="15">
        <f t="shared" si="0"/>
        <v>0.3314285714285714</v>
      </c>
    </row>
    <row r="19" spans="1:5" ht="16.5" customHeight="1">
      <c r="A19" s="52">
        <v>16</v>
      </c>
      <c r="B19" s="3" t="s">
        <v>27</v>
      </c>
      <c r="C19" s="15">
        <v>156</v>
      </c>
      <c r="D19" s="15">
        <v>475</v>
      </c>
      <c r="E19" s="15">
        <f t="shared" si="0"/>
        <v>0.32842105263157895</v>
      </c>
    </row>
    <row r="20" spans="1:5" ht="16.5" customHeight="1">
      <c r="A20" s="52">
        <v>17</v>
      </c>
      <c r="B20" s="3" t="s">
        <v>12</v>
      </c>
      <c r="C20" s="15">
        <v>80</v>
      </c>
      <c r="D20" s="15">
        <v>250</v>
      </c>
      <c r="E20" s="15">
        <f t="shared" si="0"/>
        <v>0.32</v>
      </c>
    </row>
    <row r="21" spans="1:5" ht="16.5" customHeight="1">
      <c r="A21" s="52">
        <v>18</v>
      </c>
      <c r="B21" s="3" t="s">
        <v>20</v>
      </c>
      <c r="C21" s="15">
        <v>44</v>
      </c>
      <c r="D21" s="15">
        <f>280/2</f>
        <v>140</v>
      </c>
      <c r="E21" s="15">
        <f t="shared" si="0"/>
        <v>0.3142857142857143</v>
      </c>
    </row>
    <row r="22" spans="1:5" ht="16.5" customHeight="1">
      <c r="A22" s="52">
        <v>19</v>
      </c>
      <c r="B22" s="3" t="s">
        <v>16</v>
      </c>
      <c r="C22" s="30">
        <f>41+14</f>
        <v>55</v>
      </c>
      <c r="D22" s="30">
        <f>350/2</f>
        <v>175</v>
      </c>
      <c r="E22" s="15">
        <f t="shared" si="0"/>
        <v>0.3142857142857143</v>
      </c>
    </row>
    <row r="23" spans="1:5" ht="16.5" customHeight="1">
      <c r="A23" s="52">
        <v>20</v>
      </c>
      <c r="B23" s="3" t="s">
        <v>11</v>
      </c>
      <c r="C23" s="15">
        <v>69</v>
      </c>
      <c r="D23" s="15">
        <v>220</v>
      </c>
      <c r="E23" s="15">
        <f t="shared" si="0"/>
        <v>0.31363636363636366</v>
      </c>
    </row>
    <row r="24" spans="1:5" ht="16.5" customHeight="1">
      <c r="A24" s="52">
        <v>21</v>
      </c>
      <c r="B24" s="3" t="s">
        <v>30</v>
      </c>
      <c r="C24" s="15">
        <v>25</v>
      </c>
      <c r="D24" s="15">
        <v>80</v>
      </c>
      <c r="E24" s="15">
        <f t="shared" si="0"/>
        <v>0.3125</v>
      </c>
    </row>
    <row r="25" spans="1:5" ht="16.5" customHeight="1">
      <c r="A25" s="52">
        <v>22</v>
      </c>
      <c r="B25" s="3" t="s">
        <v>21</v>
      </c>
      <c r="C25" s="15">
        <v>93</v>
      </c>
      <c r="D25" s="15">
        <v>300</v>
      </c>
      <c r="E25" s="15">
        <f t="shared" si="0"/>
        <v>0.31</v>
      </c>
    </row>
    <row r="26" spans="1:5" ht="16.5" customHeight="1">
      <c r="A26" s="52">
        <v>23</v>
      </c>
      <c r="B26" s="3" t="s">
        <v>26</v>
      </c>
      <c r="C26" s="43">
        <v>46</v>
      </c>
      <c r="D26" s="15">
        <v>160</v>
      </c>
      <c r="E26" s="15">
        <f t="shared" si="0"/>
        <v>0.2875</v>
      </c>
    </row>
    <row r="27" spans="1:5" ht="16.5" customHeight="1">
      <c r="A27" s="52">
        <v>24</v>
      </c>
      <c r="B27" s="3" t="s">
        <v>32</v>
      </c>
      <c r="C27" s="30">
        <v>33</v>
      </c>
      <c r="D27" s="30">
        <f>(320+50)/3</f>
        <v>123.33333333333333</v>
      </c>
      <c r="E27" s="15">
        <f t="shared" si="0"/>
        <v>0.26756756756756755</v>
      </c>
    </row>
    <row r="28" spans="1:5" ht="16.5" customHeight="1">
      <c r="A28" s="52">
        <v>25</v>
      </c>
      <c r="B28" s="3" t="s">
        <v>28</v>
      </c>
      <c r="C28" s="15">
        <v>34</v>
      </c>
      <c r="D28" s="15">
        <f>280/2</f>
        <v>140</v>
      </c>
      <c r="E28" s="15">
        <f t="shared" si="0"/>
        <v>0.24285714285714285</v>
      </c>
    </row>
    <row r="29" spans="2:5" ht="15.75">
      <c r="B29" s="21" t="s">
        <v>56</v>
      </c>
      <c r="C29" s="20">
        <f>SUM(C4:C28)</f>
        <v>1864</v>
      </c>
      <c r="D29" s="20">
        <f>SUM(D4:D28)</f>
        <v>4664.999999999999</v>
      </c>
      <c r="E29" s="20"/>
    </row>
    <row r="30" spans="1:5" ht="40.5">
      <c r="A30" s="45"/>
      <c r="B30" s="84" t="s">
        <v>92</v>
      </c>
      <c r="C30" s="51"/>
      <c r="D30" s="51"/>
      <c r="E30" s="51"/>
    </row>
    <row r="31" spans="1:5" ht="128.25" customHeight="1">
      <c r="A31" s="23"/>
      <c r="B31" s="66" t="s">
        <v>44</v>
      </c>
      <c r="C31" s="66" t="s">
        <v>93</v>
      </c>
      <c r="D31" s="66" t="s">
        <v>94</v>
      </c>
      <c r="E31" s="66" t="s">
        <v>96</v>
      </c>
    </row>
    <row r="32" spans="1:11" ht="15.75">
      <c r="A32" s="52">
        <v>1</v>
      </c>
      <c r="B32" s="3" t="s">
        <v>37</v>
      </c>
      <c r="C32" s="15">
        <v>622</v>
      </c>
      <c r="D32" s="15">
        <v>1405</v>
      </c>
      <c r="E32" s="20">
        <f>C32/D32</f>
        <v>0.44270462633451957</v>
      </c>
      <c r="J32" s="33"/>
      <c r="K32" s="33"/>
    </row>
    <row r="33" spans="1:5" ht="18.75" customHeight="1">
      <c r="A33" s="52">
        <v>2</v>
      </c>
      <c r="B33" s="3" t="s">
        <v>36</v>
      </c>
      <c r="C33" s="26">
        <v>452</v>
      </c>
      <c r="D33" s="26">
        <v>1030</v>
      </c>
      <c r="E33" s="20">
        <f>C33/D33</f>
        <v>0.4388349514563107</v>
      </c>
    </row>
    <row r="34" spans="1:5" ht="18.75" customHeight="1">
      <c r="A34" s="52">
        <v>3</v>
      </c>
      <c r="B34" s="3" t="s">
        <v>38</v>
      </c>
      <c r="C34" s="15">
        <v>399</v>
      </c>
      <c r="D34" s="15">
        <v>1105</v>
      </c>
      <c r="E34" s="20">
        <f>C34/D34</f>
        <v>0.3610859728506787</v>
      </c>
    </row>
    <row r="35" spans="1:5" ht="22.5" customHeight="1">
      <c r="A35" s="52">
        <v>4</v>
      </c>
      <c r="B35" s="3" t="s">
        <v>39</v>
      </c>
      <c r="C35" s="15">
        <v>391</v>
      </c>
      <c r="D35" s="15">
        <v>1125</v>
      </c>
      <c r="E35" s="20">
        <f>C35/D35</f>
        <v>0.34755555555555556</v>
      </c>
    </row>
    <row r="36" spans="1:5" ht="15.75">
      <c r="A36" s="52"/>
      <c r="B36" s="21" t="s">
        <v>56</v>
      </c>
      <c r="C36" s="18">
        <f>SUM(C32:C35)</f>
        <v>1864</v>
      </c>
      <c r="D36" s="18">
        <f>SUM(D32:D35)</f>
        <v>4665</v>
      </c>
      <c r="E36" s="75"/>
    </row>
  </sheetData>
  <sheetProtection/>
  <printOptions/>
  <pageMargins left="0.75" right="0.27" top="0.34" bottom="0.33" header="0.25" footer="0.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8"/>
  <sheetViews>
    <sheetView zoomScale="75" zoomScaleNormal="75" zoomScalePageLayoutView="0" workbookViewId="0" topLeftCell="A16">
      <selection activeCell="A30" sqref="A30"/>
    </sheetView>
  </sheetViews>
  <sheetFormatPr defaultColWidth="9.00390625" defaultRowHeight="12.75"/>
  <cols>
    <col min="1" max="1" width="5.00390625" style="0" customWidth="1"/>
    <col min="2" max="2" width="69.125" style="0" customWidth="1"/>
    <col min="3" max="3" width="22.625" style="0" customWidth="1"/>
    <col min="4" max="4" width="17.625" style="0" customWidth="1"/>
    <col min="5" max="5" width="22.375" style="0" customWidth="1"/>
    <col min="6" max="6" width="17.00390625" style="0" customWidth="1"/>
  </cols>
  <sheetData>
    <row r="2" spans="2:5" ht="36.75" customHeight="1">
      <c r="B2" s="72" t="s">
        <v>153</v>
      </c>
      <c r="C2" s="9"/>
      <c r="D2" s="9"/>
      <c r="E2" s="9"/>
    </row>
    <row r="3" spans="1:6" ht="153.75" customHeight="1">
      <c r="A3" s="52" t="s">
        <v>110</v>
      </c>
      <c r="B3" s="66" t="s">
        <v>0</v>
      </c>
      <c r="C3" s="66" t="s">
        <v>97</v>
      </c>
      <c r="D3" s="66" t="s">
        <v>98</v>
      </c>
      <c r="E3" s="66" t="s">
        <v>99</v>
      </c>
      <c r="F3" s="66" t="s">
        <v>100</v>
      </c>
    </row>
    <row r="4" spans="1:6" ht="15.75" customHeight="1">
      <c r="A4" s="52">
        <v>1</v>
      </c>
      <c r="B4" s="3" t="s">
        <v>4</v>
      </c>
      <c r="C4" s="97">
        <f>85-12</f>
        <v>73</v>
      </c>
      <c r="D4" s="15">
        <v>100</v>
      </c>
      <c r="E4" s="14">
        <v>12</v>
      </c>
      <c r="F4" s="26">
        <f aca="true" t="shared" si="0" ref="F4:F28">C4/(D4-E4)</f>
        <v>0.8295454545454546</v>
      </c>
    </row>
    <row r="5" spans="1:6" ht="15.75" customHeight="1">
      <c r="A5" s="52">
        <v>2</v>
      </c>
      <c r="B5" s="3" t="s">
        <v>131</v>
      </c>
      <c r="C5" s="97">
        <v>38</v>
      </c>
      <c r="D5" s="15">
        <v>80</v>
      </c>
      <c r="E5" s="14">
        <v>7</v>
      </c>
      <c r="F5" s="26">
        <f t="shared" si="0"/>
        <v>0.5205479452054794</v>
      </c>
    </row>
    <row r="6" spans="1:6" ht="15.75" customHeight="1">
      <c r="A6" s="52">
        <v>3</v>
      </c>
      <c r="B6" s="3" t="s">
        <v>15</v>
      </c>
      <c r="C6" s="97">
        <v>129</v>
      </c>
      <c r="D6" s="15">
        <v>325</v>
      </c>
      <c r="E6" s="14">
        <v>76</v>
      </c>
      <c r="F6" s="26">
        <f t="shared" si="0"/>
        <v>0.5180722891566265</v>
      </c>
    </row>
    <row r="7" spans="1:6" ht="15.75" customHeight="1">
      <c r="A7" s="52">
        <v>4</v>
      </c>
      <c r="B7" s="3" t="s">
        <v>31</v>
      </c>
      <c r="C7" s="43">
        <v>32</v>
      </c>
      <c r="D7" s="15">
        <v>100</v>
      </c>
      <c r="E7" s="14">
        <v>30</v>
      </c>
      <c r="F7" s="26">
        <f t="shared" si="0"/>
        <v>0.45714285714285713</v>
      </c>
    </row>
    <row r="8" spans="1:6" ht="15.75" customHeight="1">
      <c r="A8" s="52">
        <v>5</v>
      </c>
      <c r="B8" s="3" t="s">
        <v>14</v>
      </c>
      <c r="C8" s="26">
        <v>70</v>
      </c>
      <c r="D8" s="30">
        <v>250</v>
      </c>
      <c r="E8" s="44">
        <v>59</v>
      </c>
      <c r="F8" s="26">
        <f t="shared" si="0"/>
        <v>0.36649214659685864</v>
      </c>
    </row>
    <row r="9" spans="1:6" ht="15.75" customHeight="1">
      <c r="A9" s="52">
        <v>6</v>
      </c>
      <c r="B9" s="3" t="s">
        <v>9</v>
      </c>
      <c r="C9" s="97">
        <f>122-E9</f>
        <v>76</v>
      </c>
      <c r="D9" s="15">
        <v>260</v>
      </c>
      <c r="E9" s="94">
        <v>46</v>
      </c>
      <c r="F9" s="26">
        <f t="shared" si="0"/>
        <v>0.35514018691588783</v>
      </c>
    </row>
    <row r="10" spans="1:6" ht="15.75" customHeight="1">
      <c r="A10" s="52">
        <v>7</v>
      </c>
      <c r="B10" s="3" t="s">
        <v>10</v>
      </c>
      <c r="C10" s="97">
        <v>41</v>
      </c>
      <c r="D10" s="15">
        <v>140</v>
      </c>
      <c r="E10" s="14">
        <v>14</v>
      </c>
      <c r="F10" s="26">
        <f t="shared" si="0"/>
        <v>0.3253968253968254</v>
      </c>
    </row>
    <row r="11" spans="1:6" ht="15.75" customHeight="1">
      <c r="A11" s="52">
        <v>8</v>
      </c>
      <c r="B11" s="3" t="s">
        <v>13</v>
      </c>
      <c r="C11" s="15">
        <v>39</v>
      </c>
      <c r="D11" s="15">
        <v>180</v>
      </c>
      <c r="E11" s="14">
        <v>46</v>
      </c>
      <c r="F11" s="26">
        <f t="shared" si="0"/>
        <v>0.291044776119403</v>
      </c>
    </row>
    <row r="12" spans="1:6" ht="15.75" customHeight="1">
      <c r="A12" s="52">
        <v>9</v>
      </c>
      <c r="B12" s="3" t="s">
        <v>29</v>
      </c>
      <c r="C12" s="15">
        <v>84</v>
      </c>
      <c r="D12" s="15">
        <v>350</v>
      </c>
      <c r="E12" s="14">
        <v>61</v>
      </c>
      <c r="F12" s="26">
        <f t="shared" si="0"/>
        <v>0.2906574394463668</v>
      </c>
    </row>
    <row r="13" spans="1:6" ht="15.75" customHeight="1">
      <c r="A13" s="52">
        <v>10</v>
      </c>
      <c r="B13" s="3" t="s">
        <v>6</v>
      </c>
      <c r="C13" s="15">
        <v>40</v>
      </c>
      <c r="D13" s="15">
        <v>150</v>
      </c>
      <c r="E13" s="14">
        <v>11</v>
      </c>
      <c r="F13" s="26">
        <f t="shared" si="0"/>
        <v>0.28776978417266186</v>
      </c>
    </row>
    <row r="14" spans="1:6" ht="15.75" customHeight="1">
      <c r="A14" s="52">
        <v>11</v>
      </c>
      <c r="B14" s="3" t="s">
        <v>30</v>
      </c>
      <c r="C14" s="15">
        <v>18</v>
      </c>
      <c r="D14" s="15">
        <v>80</v>
      </c>
      <c r="E14" s="14">
        <v>7</v>
      </c>
      <c r="F14" s="26">
        <f t="shared" si="0"/>
        <v>0.2465753424657534</v>
      </c>
    </row>
    <row r="15" spans="1:6" ht="15.75" customHeight="1">
      <c r="A15" s="52">
        <v>12</v>
      </c>
      <c r="B15" s="3" t="s">
        <v>23</v>
      </c>
      <c r="C15" s="43">
        <v>25</v>
      </c>
      <c r="D15" s="15">
        <v>120</v>
      </c>
      <c r="E15" s="14">
        <v>17</v>
      </c>
      <c r="F15" s="26">
        <f t="shared" si="0"/>
        <v>0.24271844660194175</v>
      </c>
    </row>
    <row r="16" spans="1:6" ht="15.75" customHeight="1">
      <c r="A16" s="52">
        <v>13</v>
      </c>
      <c r="B16" s="3" t="s">
        <v>11</v>
      </c>
      <c r="C16" s="15">
        <v>48</v>
      </c>
      <c r="D16" s="15">
        <v>220</v>
      </c>
      <c r="E16" s="14">
        <v>21</v>
      </c>
      <c r="F16" s="26">
        <f t="shared" si="0"/>
        <v>0.24120603015075376</v>
      </c>
    </row>
    <row r="17" spans="1:6" ht="15.75" customHeight="1">
      <c r="A17" s="52">
        <v>14</v>
      </c>
      <c r="B17" s="3" t="s">
        <v>22</v>
      </c>
      <c r="C17" s="43">
        <f>43-18</f>
        <v>25</v>
      </c>
      <c r="D17" s="15">
        <f>(320+50)/3</f>
        <v>123.33333333333333</v>
      </c>
      <c r="E17" s="14">
        <v>18</v>
      </c>
      <c r="F17" s="26">
        <f t="shared" si="0"/>
        <v>0.23734177215189875</v>
      </c>
    </row>
    <row r="18" spans="1:6" ht="15.75" customHeight="1">
      <c r="A18" s="52">
        <v>15</v>
      </c>
      <c r="B18" s="3" t="s">
        <v>8</v>
      </c>
      <c r="C18" s="15">
        <f>49-28</f>
        <v>21</v>
      </c>
      <c r="D18" s="15">
        <f>(320+50)/3</f>
        <v>123.33333333333333</v>
      </c>
      <c r="E18" s="14">
        <v>28</v>
      </c>
      <c r="F18" s="26">
        <f t="shared" si="0"/>
        <v>0.2202797202797203</v>
      </c>
    </row>
    <row r="19" spans="1:6" ht="15.75" customHeight="1">
      <c r="A19" s="52">
        <v>16</v>
      </c>
      <c r="B19" s="3" t="s">
        <v>27</v>
      </c>
      <c r="C19" s="15">
        <v>81</v>
      </c>
      <c r="D19" s="15">
        <v>475</v>
      </c>
      <c r="E19" s="14">
        <v>75</v>
      </c>
      <c r="F19" s="26">
        <f t="shared" si="0"/>
        <v>0.2025</v>
      </c>
    </row>
    <row r="20" spans="1:6" ht="15.75" customHeight="1">
      <c r="A20" s="52">
        <v>17</v>
      </c>
      <c r="B20" s="3" t="s">
        <v>5</v>
      </c>
      <c r="C20" s="15">
        <f>58-29</f>
        <v>29</v>
      </c>
      <c r="D20" s="15">
        <f>350/2</f>
        <v>175</v>
      </c>
      <c r="E20" s="14">
        <f>29</f>
        <v>29</v>
      </c>
      <c r="F20" s="26">
        <f t="shared" si="0"/>
        <v>0.19863013698630136</v>
      </c>
    </row>
    <row r="21" spans="1:6" ht="15.75" customHeight="1">
      <c r="A21" s="52">
        <v>18</v>
      </c>
      <c r="B21" s="3" t="s">
        <v>21</v>
      </c>
      <c r="C21" s="15">
        <v>47</v>
      </c>
      <c r="D21" s="15">
        <v>300</v>
      </c>
      <c r="E21" s="14">
        <v>46</v>
      </c>
      <c r="F21" s="26">
        <f t="shared" si="0"/>
        <v>0.18503937007874016</v>
      </c>
    </row>
    <row r="22" spans="1:6" ht="15.75" customHeight="1">
      <c r="A22" s="52">
        <v>19</v>
      </c>
      <c r="B22" s="3" t="s">
        <v>12</v>
      </c>
      <c r="C22" s="15">
        <v>37</v>
      </c>
      <c r="D22" s="15">
        <v>250</v>
      </c>
      <c r="E22" s="14">
        <v>43</v>
      </c>
      <c r="F22" s="26">
        <f t="shared" si="0"/>
        <v>0.178743961352657</v>
      </c>
    </row>
    <row r="23" spans="1:6" ht="15.75" customHeight="1">
      <c r="A23" s="52">
        <v>20</v>
      </c>
      <c r="B23" s="3" t="s">
        <v>20</v>
      </c>
      <c r="C23" s="14">
        <v>20</v>
      </c>
      <c r="D23" s="15">
        <f>280/2</f>
        <v>140</v>
      </c>
      <c r="E23" s="14">
        <v>24</v>
      </c>
      <c r="F23" s="26">
        <f t="shared" si="0"/>
        <v>0.1724137931034483</v>
      </c>
    </row>
    <row r="24" spans="1:6" ht="15.75" customHeight="1">
      <c r="A24" s="52">
        <v>21</v>
      </c>
      <c r="B24" s="3" t="s">
        <v>16</v>
      </c>
      <c r="C24" s="30">
        <f>55-E24</f>
        <v>22</v>
      </c>
      <c r="D24" s="30">
        <f>350/2</f>
        <v>175</v>
      </c>
      <c r="E24" s="44">
        <v>33</v>
      </c>
      <c r="F24" s="26">
        <f t="shared" si="0"/>
        <v>0.15492957746478872</v>
      </c>
    </row>
    <row r="25" spans="1:6" ht="15.75" customHeight="1">
      <c r="A25" s="52">
        <v>22</v>
      </c>
      <c r="B25" s="3" t="s">
        <v>26</v>
      </c>
      <c r="C25" s="15">
        <v>19</v>
      </c>
      <c r="D25" s="15">
        <v>160</v>
      </c>
      <c r="E25" s="14">
        <v>27</v>
      </c>
      <c r="F25" s="26">
        <f t="shared" si="0"/>
        <v>0.14285714285714285</v>
      </c>
    </row>
    <row r="26" spans="1:6" ht="15.75" customHeight="1">
      <c r="A26" s="52">
        <v>23</v>
      </c>
      <c r="B26" s="3" t="s">
        <v>28</v>
      </c>
      <c r="C26" s="96">
        <v>12</v>
      </c>
      <c r="D26" s="15">
        <f>280/2</f>
        <v>140</v>
      </c>
      <c r="E26" s="14">
        <v>22</v>
      </c>
      <c r="F26" s="26">
        <f t="shared" si="0"/>
        <v>0.1016949152542373</v>
      </c>
    </row>
    <row r="27" spans="1:6" ht="15.75" customHeight="1">
      <c r="A27" s="52">
        <v>24</v>
      </c>
      <c r="B27" s="3" t="s">
        <v>34</v>
      </c>
      <c r="C27" s="15">
        <v>7</v>
      </c>
      <c r="D27" s="15">
        <v>125</v>
      </c>
      <c r="E27" s="14">
        <v>46</v>
      </c>
      <c r="F27" s="26">
        <f t="shared" si="0"/>
        <v>0.08860759493670886</v>
      </c>
    </row>
    <row r="28" spans="1:6" ht="15.75" customHeight="1">
      <c r="A28" s="52">
        <v>25</v>
      </c>
      <c r="B28" s="3" t="s">
        <v>32</v>
      </c>
      <c r="C28" s="30">
        <f>33-26</f>
        <v>7</v>
      </c>
      <c r="D28" s="15">
        <f>(320+50)/3</f>
        <v>123.33333333333333</v>
      </c>
      <c r="E28" s="44">
        <v>26</v>
      </c>
      <c r="F28" s="26">
        <f t="shared" si="0"/>
        <v>0.07191780821917809</v>
      </c>
    </row>
    <row r="29" spans="2:6" ht="15.75">
      <c r="B29" s="21" t="s">
        <v>56</v>
      </c>
      <c r="C29" s="20">
        <f>SUM(C4:C28)</f>
        <v>1040</v>
      </c>
      <c r="D29" s="20">
        <f>SUM(D4:D28)</f>
        <v>4665</v>
      </c>
      <c r="E29" s="35">
        <f>SUM(E4:E28)</f>
        <v>824</v>
      </c>
      <c r="F29" s="17"/>
    </row>
    <row r="30" spans="1:6" ht="47.25" customHeight="1">
      <c r="A30" s="45"/>
      <c r="B30" s="84" t="s">
        <v>154</v>
      </c>
      <c r="C30" s="51"/>
      <c r="D30" s="51"/>
      <c r="E30" s="51"/>
      <c r="F30" s="45"/>
    </row>
    <row r="31" spans="1:6" ht="153.75" customHeight="1">
      <c r="A31" s="52" t="s">
        <v>110</v>
      </c>
      <c r="B31" s="66" t="s">
        <v>44</v>
      </c>
      <c r="C31" s="66" t="s">
        <v>97</v>
      </c>
      <c r="D31" s="66" t="s">
        <v>98</v>
      </c>
      <c r="E31" s="66" t="s">
        <v>99</v>
      </c>
      <c r="F31" s="66" t="s">
        <v>100</v>
      </c>
    </row>
    <row r="32" spans="1:6" ht="24" customHeight="1">
      <c r="A32" s="52">
        <v>1</v>
      </c>
      <c r="B32" s="3" t="s">
        <v>36</v>
      </c>
      <c r="C32" s="15">
        <v>334</v>
      </c>
      <c r="D32" s="15">
        <v>1030</v>
      </c>
      <c r="E32" s="15">
        <v>118</v>
      </c>
      <c r="F32" s="26">
        <f>C32/(D32-E32)</f>
        <v>0.36622807017543857</v>
      </c>
    </row>
    <row r="33" spans="1:6" ht="21.75" customHeight="1">
      <c r="A33" s="52">
        <v>2</v>
      </c>
      <c r="B33" s="3" t="s">
        <v>37</v>
      </c>
      <c r="C33" s="15">
        <v>323</v>
      </c>
      <c r="D33" s="15">
        <v>1405</v>
      </c>
      <c r="E33" s="15">
        <v>299</v>
      </c>
      <c r="F33" s="26">
        <f>C33/(D33-E33)</f>
        <v>0.29204339963833637</v>
      </c>
    </row>
    <row r="34" spans="1:6" ht="28.5" customHeight="1">
      <c r="A34" s="52">
        <v>3</v>
      </c>
      <c r="B34" s="3" t="s">
        <v>39</v>
      </c>
      <c r="C34" s="15">
        <v>197</v>
      </c>
      <c r="D34" s="15">
        <v>1125</v>
      </c>
      <c r="E34" s="15">
        <v>194</v>
      </c>
      <c r="F34" s="26">
        <f>C34/(D34-E34)</f>
        <v>0.21160042964554243</v>
      </c>
    </row>
    <row r="35" spans="1:6" ht="31.5">
      <c r="A35" s="52">
        <v>4</v>
      </c>
      <c r="B35" s="3" t="s">
        <v>38</v>
      </c>
      <c r="C35" s="15">
        <v>186</v>
      </c>
      <c r="D35" s="15">
        <v>1105</v>
      </c>
      <c r="E35" s="15">
        <v>213</v>
      </c>
      <c r="F35" s="26">
        <f>C35/(D35-E35)</f>
        <v>0.2085201793721973</v>
      </c>
    </row>
    <row r="36" spans="2:6" ht="15.75">
      <c r="B36" s="21" t="s">
        <v>56</v>
      </c>
      <c r="C36" s="18">
        <f>SUM(C32:C35)</f>
        <v>1040</v>
      </c>
      <c r="D36" s="18">
        <f>SUM(D32:D35)</f>
        <v>4665</v>
      </c>
      <c r="E36" s="18">
        <f>SUM(E32:E35)</f>
        <v>824</v>
      </c>
      <c r="F36" s="17"/>
    </row>
    <row r="38" ht="15.75">
      <c r="C38" s="7"/>
    </row>
  </sheetData>
  <sheetProtection/>
  <printOptions/>
  <pageMargins left="0.75" right="0.14" top="0.26" bottom="0.27" header="0.2" footer="0.2"/>
  <pageSetup horizontalDpi="600" verticalDpi="600" orientation="landscape" paperSize="9" scale="90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v_Kadriv</dc:creator>
  <cp:keywords/>
  <dc:description/>
  <cp:lastModifiedBy>user</cp:lastModifiedBy>
  <cp:lastPrinted>2020-02-12T09:49:13Z</cp:lastPrinted>
  <dcterms:created xsi:type="dcterms:W3CDTF">2019-01-03T11:25:59Z</dcterms:created>
  <dcterms:modified xsi:type="dcterms:W3CDTF">2020-02-27T10:55:05Z</dcterms:modified>
  <cp:category/>
  <cp:version/>
  <cp:contentType/>
  <cp:contentStatus/>
</cp:coreProperties>
</file>